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comments3.xml" ContentType="application/vnd.openxmlformats-officedocument.spreadsheetml.comments+xml"/>
  <Override PartName="/xl/charts/chart3.xml" ContentType="application/vnd.openxmlformats-officedocument.drawingml.chart+xml"/>
  <Override PartName="/xl/drawings/drawing4.xml" ContentType="application/vnd.openxmlformats-officedocument.drawing+xml"/>
  <Override PartName="/xl/comments4.xml" ContentType="application/vnd.openxmlformats-officedocument.spreadsheetml.comments+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drawings/drawing6.xml" ContentType="application/vnd.openxmlformats-officedocument.drawing+xml"/>
  <Override PartName="/xl/drawings/drawing7.xml" ContentType="application/vnd.openxmlformats-officedocument.drawing+xml"/>
  <Override PartName="/xl/charts/chart6.xml" ContentType="application/vnd.openxmlformats-officedocument.drawingml.chart+xml"/>
  <Override PartName="/xl/drawings/drawing8.xml" ContentType="application/vnd.openxmlformats-officedocument.drawing+xml"/>
  <Override PartName="/xl/charts/chart7.xml" ContentType="application/vnd.openxmlformats-officedocument.drawingml.chart+xml"/>
  <Override PartName="/xl/drawings/drawing9.xml" ContentType="application/vnd.openxmlformats-officedocument.drawing+xml"/>
  <Override PartName="/xl/charts/chart8.xml" ContentType="application/vnd.openxmlformats-officedocument.drawingml.chart+xml"/>
  <Override PartName="/xl/charts/style1.xml" ContentType="application/vnd.ms-office.chartstyle+xml"/>
  <Override PartName="/xl/charts/colors1.xml" ContentType="application/vnd.ms-office.chartcolorstyle+xml"/>
  <Override PartName="/xl/drawings/drawing10.xml" ContentType="application/vnd.openxmlformats-officedocument.drawing+xml"/>
  <Override PartName="/xl/charts/chart9.xml" ContentType="application/vnd.openxmlformats-officedocument.drawingml.chart+xml"/>
  <Override PartName="/xl/charts/style2.xml" ContentType="application/vnd.ms-office.chartstyle+xml"/>
  <Override PartName="/xl/charts/colors2.xml" ContentType="application/vnd.ms-office.chartcolorstyle+xml"/>
  <Override PartName="/xl/charts/chart10.xml" ContentType="application/vnd.openxmlformats-officedocument.drawingml.chart+xml"/>
  <Override PartName="/xl/charts/style3.xml" ContentType="application/vnd.ms-office.chartstyle+xml"/>
  <Override PartName="/xl/charts/colors3.xml" ContentType="application/vnd.ms-office.chartcolorstyle+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mc:AlternateContent xmlns:mc="http://schemas.openxmlformats.org/markup-compatibility/2006">
    <mc:Choice Requires="x15">
      <x15ac:absPath xmlns:x15ac="http://schemas.microsoft.com/office/spreadsheetml/2010/11/ac" url="C:\Users\kim.garratt\Downloads\"/>
    </mc:Choice>
  </mc:AlternateContent>
  <xr:revisionPtr revIDLastSave="0" documentId="13_ncr:1_{A6AB6EB8-8C09-48F6-9DCC-647872772042}" xr6:coauthVersionLast="47" xr6:coauthVersionMax="47" xr10:uidLastSave="{00000000-0000-0000-0000-000000000000}"/>
  <bookViews>
    <workbookView xWindow="-110" yWindow="-110" windowWidth="25820" windowHeight="14020" firstSheet="2" activeTab="2" xr2:uid="{00000000-000D-0000-FFFF-FFFF00000000}"/>
  </bookViews>
  <sheets>
    <sheet name="Permissions" sheetId="1" r:id="rId1"/>
    <sheet name="dropdowns" sheetId="2" state="hidden" r:id="rId2"/>
    <sheet name="Figure 1 10 most polluting" sheetId="9" r:id="rId3"/>
    <sheet name="Figure 2 Expansion estimates" sheetId="10" r:id="rId4"/>
    <sheet name="Figure 3 Emissions by activity" sheetId="11" r:id="rId5"/>
    <sheet name="Figure 4 Baselines by activity" sheetId="12" r:id="rId6"/>
    <sheet name="Figure 5 MYMPs" sheetId="13" r:id="rId7"/>
    <sheet name="Figure 6 Headroom by facility" sheetId="14" r:id="rId8"/>
    <sheet name="Figure 7 Headroom by activity" sheetId="15" r:id="rId9"/>
    <sheet name="Figure 8 Industry variability" sheetId="16" r:id="rId10"/>
    <sheet name="Facility case study generator" sheetId="17" r:id="rId11"/>
    <sheet name="Activity case study generator" sheetId="18" r:id="rId12"/>
    <sheet name="Safeguard facility data" sheetId="19" r:id="rId13"/>
  </sheets>
  <definedNames>
    <definedName name="_xlnm._FilterDatabase" localSheetId="11" hidden="1">'Activity case study generator'!$A$1:$G$1</definedName>
    <definedName name="_xlnm._FilterDatabase" localSheetId="12" hidden="1">'Safeguard facility data'!$A$3:$CD$312</definedName>
    <definedName name="Z_126296A1_39B8_4F9F_92BD_1F72BDB7F81F_.wvu.FilterData" localSheetId="12" hidden="1">'Safeguard facility data'!$A$3:$CD$312</definedName>
    <definedName name="Z_A4D9D91F_BD4E_40EB_BD91_B78634CC6ACF_.wvu.FilterData" localSheetId="12" hidden="1">'Safeguard facility data'!$A$3:$CD$312</definedName>
    <definedName name="Z_C15A6F2C_5042_404F_8800_DD7B8CC74477_.wvu.FilterData" localSheetId="12" hidden="1">'Safeguard facility data'!$A$3:$CD$312</definedName>
    <definedName name="Z_FC01355F_6FF5_41EC_9220_01D9EEFC83FF_.wvu.FilterData" localSheetId="12" hidden="1">'Safeguard facility data'!$A$3:$CD$312</definedName>
  </definedNames>
  <calcPr calcId="191029"/>
  <customWorkbookViews>
    <customWorkbookView name="Filter 4" guid="{126296A1-39B8-4F9F-92BD-1F72BDB7F81F}" maximized="1" windowWidth="0" windowHeight="0" activeSheetId="0"/>
    <customWorkbookView name="Filter 2" guid="{FC01355F-6FF5-41EC-9220-01D9EEFC83FF}" maximized="1" windowWidth="0" windowHeight="0" activeSheetId="0"/>
    <customWorkbookView name="Filter 3" guid="{C15A6F2C-5042-404F-8800-DD7B8CC74477}" maximized="1" windowWidth="0" windowHeight="0" activeSheetId="0"/>
    <customWorkbookView name="Filter 1" guid="{A4D9D91F-BD4E-40EB-BD91-B78634CC6ACF}" maximized="1" windowWidth="0" windowHeight="0" activeSheetId="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9" i="9" l="1"/>
  <c r="C10" i="9"/>
  <c r="C11" i="9"/>
  <c r="C12" i="9"/>
  <c r="C13" i="9"/>
  <c r="C14" i="9"/>
  <c r="C7" i="11"/>
  <c r="D7" i="11"/>
  <c r="E7" i="11"/>
  <c r="F7" i="11"/>
  <c r="B7" i="11"/>
  <c r="B6" i="11"/>
  <c r="B9" i="18"/>
  <c r="C9" i="18"/>
  <c r="D9" i="18"/>
  <c r="E9" i="18"/>
  <c r="F9" i="18"/>
  <c r="BX312" i="19"/>
  <c r="BN312" i="19"/>
  <c r="F312" i="19"/>
  <c r="BX190" i="19"/>
  <c r="BN190" i="19"/>
  <c r="AB190" i="19"/>
  <c r="F190" i="19"/>
  <c r="CC304" i="19"/>
  <c r="CB304" i="19"/>
  <c r="CA304" i="19"/>
  <c r="BZ304" i="19"/>
  <c r="BY304" i="19"/>
  <c r="BX304" i="19"/>
  <c r="BN304" i="19"/>
  <c r="F304" i="19"/>
  <c r="BX226" i="19"/>
  <c r="BN226" i="19"/>
  <c r="F226" i="19"/>
  <c r="BX50" i="19"/>
  <c r="BN50" i="19"/>
  <c r="F50" i="19"/>
  <c r="BX258" i="19"/>
  <c r="BN258" i="19"/>
  <c r="F258" i="19"/>
  <c r="BX281" i="19"/>
  <c r="BN281" i="19"/>
  <c r="AE281" i="19"/>
  <c r="AD281" i="19"/>
  <c r="AB281" i="19"/>
  <c r="F281" i="19"/>
  <c r="CC296" i="19"/>
  <c r="CB296" i="19"/>
  <c r="CA296" i="19"/>
  <c r="BZ296" i="19"/>
  <c r="BY296" i="19"/>
  <c r="CD296" i="19" s="1"/>
  <c r="BX296" i="19"/>
  <c r="BN296" i="19"/>
  <c r="F296" i="19"/>
  <c r="CC201" i="19"/>
  <c r="CB201" i="19"/>
  <c r="CA201" i="19"/>
  <c r="BZ201" i="19"/>
  <c r="BY201" i="19"/>
  <c r="BX201" i="19"/>
  <c r="BN201" i="19"/>
  <c r="F201" i="19"/>
  <c r="CC202" i="19"/>
  <c r="CB202" i="19"/>
  <c r="CA202" i="19"/>
  <c r="BZ202" i="19"/>
  <c r="BY202" i="19"/>
  <c r="CD202" i="19" s="1"/>
  <c r="BX202" i="19"/>
  <c r="BN202" i="19"/>
  <c r="F202" i="19"/>
  <c r="BX79" i="19"/>
  <c r="BN79" i="19"/>
  <c r="AT79" i="19"/>
  <c r="AS79" i="19"/>
  <c r="AR79" i="19"/>
  <c r="F79" i="19"/>
  <c r="BX83" i="19"/>
  <c r="BN83" i="19"/>
  <c r="F83" i="19"/>
  <c r="BX64" i="19"/>
  <c r="BN64" i="19"/>
  <c r="F64" i="19"/>
  <c r="BX15" i="19"/>
  <c r="BN15" i="19"/>
  <c r="F15" i="19"/>
  <c r="CC134" i="19"/>
  <c r="CB134" i="19"/>
  <c r="CA134" i="19"/>
  <c r="BZ134" i="19"/>
  <c r="BY134" i="19"/>
  <c r="CD134" i="19" s="1"/>
  <c r="BX134" i="19"/>
  <c r="BN134" i="19"/>
  <c r="F134" i="19"/>
  <c r="BX238" i="19"/>
  <c r="BN238" i="19"/>
  <c r="F238" i="19"/>
  <c r="CC294" i="19"/>
  <c r="CB294" i="19"/>
  <c r="CA294" i="19"/>
  <c r="BZ294" i="19"/>
  <c r="BY294" i="19"/>
  <c r="CD294" i="19" s="1"/>
  <c r="BX294" i="19"/>
  <c r="BN294" i="19"/>
  <c r="F294" i="19"/>
  <c r="CC302" i="19"/>
  <c r="CB302" i="19"/>
  <c r="CA302" i="19"/>
  <c r="BZ302" i="19"/>
  <c r="BY302" i="19"/>
  <c r="BX302" i="19"/>
  <c r="BN302" i="19"/>
  <c r="F302" i="19"/>
  <c r="CC198" i="19"/>
  <c r="CB198" i="19"/>
  <c r="CA198" i="19"/>
  <c r="BZ198" i="19"/>
  <c r="BY198" i="19"/>
  <c r="BX198" i="19"/>
  <c r="BN198" i="19"/>
  <c r="AT198" i="19"/>
  <c r="AS198" i="19"/>
  <c r="F198" i="19"/>
  <c r="BX13" i="19"/>
  <c r="BN13" i="19"/>
  <c r="F13" i="19"/>
  <c r="BX84" i="19"/>
  <c r="BN84" i="19"/>
  <c r="F84" i="19"/>
  <c r="BX288" i="19"/>
  <c r="BN288" i="19"/>
  <c r="F288" i="19"/>
  <c r="BX38" i="19"/>
  <c r="BN38" i="19"/>
  <c r="F38" i="19"/>
  <c r="BX298" i="19"/>
  <c r="BN298" i="19"/>
  <c r="AT298" i="19"/>
  <c r="AS298" i="19"/>
  <c r="F298" i="19"/>
  <c r="BX91" i="19"/>
  <c r="BN91" i="19"/>
  <c r="F91" i="19"/>
  <c r="BX98" i="19"/>
  <c r="BN98" i="19"/>
  <c r="AT98" i="19"/>
  <c r="AS98" i="19"/>
  <c r="AR98" i="19"/>
  <c r="F98" i="19"/>
  <c r="BX242" i="19"/>
  <c r="BN242" i="19"/>
  <c r="F242" i="19"/>
  <c r="BX282" i="19"/>
  <c r="BN282" i="19"/>
  <c r="F282" i="19"/>
  <c r="CC130" i="19"/>
  <c r="CB130" i="19"/>
  <c r="CA130" i="19"/>
  <c r="BZ130" i="19"/>
  <c r="BY130" i="19"/>
  <c r="CD130" i="19" s="1"/>
  <c r="BX130" i="19"/>
  <c r="BN130" i="19"/>
  <c r="F130" i="19"/>
  <c r="CC133" i="19"/>
  <c r="CB133" i="19"/>
  <c r="CA133" i="19"/>
  <c r="BZ133" i="19"/>
  <c r="BY133" i="19"/>
  <c r="CD133" i="19" s="1"/>
  <c r="BX133" i="19"/>
  <c r="BN133" i="19"/>
  <c r="F133" i="19"/>
  <c r="BX274" i="19"/>
  <c r="BN274" i="19"/>
  <c r="AT274" i="19"/>
  <c r="AS274" i="19"/>
  <c r="AR274" i="19"/>
  <c r="F274" i="19"/>
  <c r="BX26" i="19"/>
  <c r="BN26" i="19"/>
  <c r="F26" i="19"/>
  <c r="BX234" i="19"/>
  <c r="BN234" i="19"/>
  <c r="AT234" i="19"/>
  <c r="AS234" i="19"/>
  <c r="AR234" i="19"/>
  <c r="F234" i="19"/>
  <c r="BX225" i="19"/>
  <c r="BN225" i="19"/>
  <c r="F225" i="19"/>
  <c r="BX161" i="19"/>
  <c r="BN161" i="19"/>
  <c r="F161" i="19"/>
  <c r="BX30" i="19"/>
  <c r="BN30" i="19"/>
  <c r="F30" i="19"/>
  <c r="BX185" i="19"/>
  <c r="BN185" i="19"/>
  <c r="F185" i="19"/>
  <c r="BX73" i="19"/>
  <c r="BN73" i="19"/>
  <c r="F73" i="19"/>
  <c r="BX117" i="19"/>
  <c r="BN117" i="19"/>
  <c r="F117" i="19"/>
  <c r="BX175" i="19"/>
  <c r="BN175" i="19"/>
  <c r="F175" i="19"/>
  <c r="CC293" i="19"/>
  <c r="CB293" i="19"/>
  <c r="CA293" i="19"/>
  <c r="BZ293" i="19"/>
  <c r="BY293" i="19"/>
  <c r="CD293" i="19" s="1"/>
  <c r="BX293" i="19"/>
  <c r="BN293" i="19"/>
  <c r="F293" i="19"/>
  <c r="BX192" i="19"/>
  <c r="BN192" i="19"/>
  <c r="F192" i="19"/>
  <c r="BX217" i="19"/>
  <c r="BN217" i="19"/>
  <c r="AE217" i="19"/>
  <c r="AD217" i="19"/>
  <c r="F217" i="19"/>
  <c r="BX27" i="19"/>
  <c r="BN27" i="19"/>
  <c r="F27" i="19"/>
  <c r="BX186" i="19"/>
  <c r="BN186" i="19"/>
  <c r="AT186" i="19"/>
  <c r="AS186" i="19"/>
  <c r="AR186" i="19"/>
  <c r="F186" i="19"/>
  <c r="BX159" i="19"/>
  <c r="BN159" i="19"/>
  <c r="AT159" i="19"/>
  <c r="AS159" i="19"/>
  <c r="AR159" i="19"/>
  <c r="F159" i="19"/>
  <c r="BX191" i="19"/>
  <c r="BN191" i="19"/>
  <c r="F191" i="19"/>
  <c r="BX152" i="19"/>
  <c r="BN152" i="19"/>
  <c r="F152" i="19"/>
  <c r="BX28" i="19"/>
  <c r="BN28" i="19"/>
  <c r="F28" i="19"/>
  <c r="CC264" i="19"/>
  <c r="CB264" i="19"/>
  <c r="CA264" i="19"/>
  <c r="BZ264" i="19"/>
  <c r="BY264" i="19"/>
  <c r="BX264" i="19"/>
  <c r="BN264" i="19"/>
  <c r="AT264" i="19"/>
  <c r="AS264" i="19"/>
  <c r="AR264" i="19"/>
  <c r="F264" i="19"/>
  <c r="BX101" i="19"/>
  <c r="BN101" i="19"/>
  <c r="F101" i="19"/>
  <c r="CC206" i="19"/>
  <c r="CB206" i="19"/>
  <c r="CA206" i="19"/>
  <c r="BZ206" i="19"/>
  <c r="BY206" i="19"/>
  <c r="CD206" i="19" s="1"/>
  <c r="BX206" i="19"/>
  <c r="BN206" i="19"/>
  <c r="F206" i="19"/>
  <c r="BX112" i="19"/>
  <c r="BN112" i="19"/>
  <c r="AT112" i="19"/>
  <c r="AS112" i="19"/>
  <c r="AR112" i="19"/>
  <c r="F112" i="19"/>
  <c r="CC256" i="19"/>
  <c r="CB256" i="19"/>
  <c r="CA256" i="19"/>
  <c r="BZ256" i="19"/>
  <c r="BY256" i="19"/>
  <c r="CD256" i="19" s="1"/>
  <c r="BX256" i="19"/>
  <c r="BN256" i="19"/>
  <c r="F256" i="19"/>
  <c r="BX87" i="19"/>
  <c r="BN87" i="19"/>
  <c r="F87" i="19"/>
  <c r="CC116" i="19"/>
  <c r="CB116" i="19"/>
  <c r="CA116" i="19"/>
  <c r="BZ116" i="19"/>
  <c r="BY116" i="19"/>
  <c r="BX116" i="19"/>
  <c r="BN116" i="19"/>
  <c r="F116" i="19"/>
  <c r="BX119" i="19"/>
  <c r="BN119" i="19"/>
  <c r="F119" i="19"/>
  <c r="BX283" i="19"/>
  <c r="BN283" i="19"/>
  <c r="F283" i="19"/>
  <c r="BX284" i="19"/>
  <c r="BN284" i="19"/>
  <c r="AT284" i="19"/>
  <c r="AS284" i="19"/>
  <c r="AR284" i="19"/>
  <c r="F284" i="19"/>
  <c r="BX145" i="19"/>
  <c r="BN145" i="19"/>
  <c r="AT145" i="19"/>
  <c r="AS145" i="19"/>
  <c r="AR145" i="19"/>
  <c r="F145" i="19"/>
  <c r="CC59" i="19"/>
  <c r="CB59" i="19"/>
  <c r="CA59" i="19"/>
  <c r="BZ59" i="19"/>
  <c r="BY59" i="19"/>
  <c r="BX59" i="19"/>
  <c r="BN59" i="19"/>
  <c r="AT59" i="19"/>
  <c r="AS59" i="19"/>
  <c r="F59" i="19"/>
  <c r="BX280" i="19"/>
  <c r="BN280" i="19"/>
  <c r="F280" i="19"/>
  <c r="CC158" i="19"/>
  <c r="CB158" i="19"/>
  <c r="CA158" i="19"/>
  <c r="BZ158" i="19"/>
  <c r="BY158" i="19"/>
  <c r="CD158" i="19" s="1"/>
  <c r="BX158" i="19"/>
  <c r="BN158" i="19"/>
  <c r="F158" i="19"/>
  <c r="BX147" i="19"/>
  <c r="BN147" i="19"/>
  <c r="AT147" i="19"/>
  <c r="AS147" i="19"/>
  <c r="AR147" i="19"/>
  <c r="F147" i="19"/>
  <c r="BX247" i="19"/>
  <c r="BN247" i="19"/>
  <c r="F247" i="19"/>
  <c r="CC126" i="19"/>
  <c r="CB126" i="19"/>
  <c r="CA126" i="19"/>
  <c r="BZ126" i="19"/>
  <c r="BY126" i="19"/>
  <c r="BX126" i="19"/>
  <c r="BN126" i="19"/>
  <c r="F126" i="19"/>
  <c r="BX71" i="19"/>
  <c r="BN71" i="19"/>
  <c r="AD71" i="19"/>
  <c r="F71" i="19"/>
  <c r="BW62" i="19"/>
  <c r="CC62" i="19" s="1"/>
  <c r="BV62" i="19"/>
  <c r="CB62" i="19" s="1"/>
  <c r="BU62" i="19"/>
  <c r="CA62" i="19" s="1"/>
  <c r="BT62" i="19"/>
  <c r="BS62" i="19"/>
  <c r="BY62" i="19" s="1"/>
  <c r="CD62" i="19" s="1"/>
  <c r="BN62" i="19"/>
  <c r="F62" i="19"/>
  <c r="BX219" i="19"/>
  <c r="BN219" i="19"/>
  <c r="F219" i="19"/>
  <c r="BX224" i="19"/>
  <c r="BN224" i="19"/>
  <c r="F44" i="9" s="1"/>
  <c r="AT224" i="19"/>
  <c r="AS224" i="19"/>
  <c r="AR224" i="19"/>
  <c r="F224" i="19"/>
  <c r="BX232" i="19"/>
  <c r="BN232" i="19"/>
  <c r="F232" i="19"/>
  <c r="BX19" i="19"/>
  <c r="BN19" i="19"/>
  <c r="F19" i="19"/>
  <c r="BX94" i="19"/>
  <c r="BN94" i="19"/>
  <c r="F94" i="19"/>
  <c r="BX103" i="19"/>
  <c r="BN103" i="19"/>
  <c r="F103" i="19"/>
  <c r="CC137" i="19"/>
  <c r="CB137" i="19"/>
  <c r="CA137" i="19"/>
  <c r="BZ137" i="19"/>
  <c r="BY137" i="19"/>
  <c r="CD137" i="19" s="1"/>
  <c r="BX137" i="19"/>
  <c r="BN137" i="19"/>
  <c r="F137" i="19"/>
  <c r="CC136" i="19"/>
  <c r="CB136" i="19"/>
  <c r="CA136" i="19"/>
  <c r="BZ136" i="19"/>
  <c r="BY136" i="19"/>
  <c r="BX136" i="19"/>
  <c r="BN136" i="19"/>
  <c r="F136" i="19"/>
  <c r="BX109" i="19"/>
  <c r="BN109" i="19"/>
  <c r="F109" i="19"/>
  <c r="BX229" i="19"/>
  <c r="BN229" i="19"/>
  <c r="F229" i="19"/>
  <c r="BX149" i="19"/>
  <c r="BN149" i="19"/>
  <c r="F149" i="19"/>
  <c r="BX157" i="19"/>
  <c r="BN157" i="19"/>
  <c r="F157" i="19"/>
  <c r="BX252" i="19"/>
  <c r="BN252" i="19"/>
  <c r="F252" i="19"/>
  <c r="BX218" i="19"/>
  <c r="BN218" i="19"/>
  <c r="F218" i="19"/>
  <c r="BX16" i="19"/>
  <c r="BN16" i="19"/>
  <c r="F16" i="19"/>
  <c r="BX279" i="19"/>
  <c r="BN279" i="19"/>
  <c r="AE279" i="19"/>
  <c r="AD279" i="19"/>
  <c r="F279" i="19"/>
  <c r="BX278" i="19"/>
  <c r="BN278" i="19"/>
  <c r="AB278" i="19"/>
  <c r="F278" i="19"/>
  <c r="BX37" i="19"/>
  <c r="BN37" i="19"/>
  <c r="F37" i="19"/>
  <c r="BX253" i="19"/>
  <c r="BN253" i="19"/>
  <c r="F253" i="19"/>
  <c r="BX85" i="19"/>
  <c r="BN85" i="19"/>
  <c r="F85" i="19"/>
  <c r="BX86" i="19"/>
  <c r="BN86" i="19"/>
  <c r="F86" i="19"/>
  <c r="BX205" i="19"/>
  <c r="BN205" i="19"/>
  <c r="F205" i="19"/>
  <c r="BX196" i="19"/>
  <c r="BN196" i="19"/>
  <c r="F196" i="19"/>
  <c r="BX44" i="19"/>
  <c r="BN44" i="19"/>
  <c r="F44" i="19"/>
  <c r="CC310" i="19"/>
  <c r="CB310" i="19"/>
  <c r="CA310" i="19"/>
  <c r="BZ310" i="19"/>
  <c r="BY310" i="19"/>
  <c r="CD310" i="19" s="1"/>
  <c r="BX310" i="19"/>
  <c r="BN310" i="19"/>
  <c r="F310" i="19"/>
  <c r="BX10" i="19"/>
  <c r="BN10" i="19"/>
  <c r="AT10" i="19"/>
  <c r="AS10" i="19"/>
  <c r="AR10" i="19"/>
  <c r="F10" i="19"/>
  <c r="BX144" i="19"/>
  <c r="BN144" i="19"/>
  <c r="AT144" i="19"/>
  <c r="AS144" i="19"/>
  <c r="AR144" i="19"/>
  <c r="F144" i="19"/>
  <c r="BX63" i="19"/>
  <c r="BN63" i="19"/>
  <c r="F63" i="19"/>
  <c r="BX245" i="19"/>
  <c r="BN245" i="19"/>
  <c r="F245" i="19"/>
  <c r="CC265" i="19"/>
  <c r="CB265" i="19"/>
  <c r="CA265" i="19"/>
  <c r="BZ265" i="19"/>
  <c r="BY265" i="19"/>
  <c r="BX265" i="19"/>
  <c r="BN265" i="19"/>
  <c r="AT265" i="19"/>
  <c r="AS265" i="19"/>
  <c r="AR265" i="19"/>
  <c r="F265" i="19"/>
  <c r="BX14" i="19"/>
  <c r="BN14" i="19"/>
  <c r="F14" i="19"/>
  <c r="BX297" i="19"/>
  <c r="BN297" i="19"/>
  <c r="AT297" i="19"/>
  <c r="AS297" i="19"/>
  <c r="AB297" i="19"/>
  <c r="F297" i="19"/>
  <c r="BX12" i="19"/>
  <c r="BN12" i="19"/>
  <c r="F12" i="19"/>
  <c r="BX221" i="19"/>
  <c r="BN221" i="19"/>
  <c r="F221" i="19"/>
  <c r="BX155" i="19"/>
  <c r="BN155" i="19"/>
  <c r="F155" i="19"/>
  <c r="BX194" i="19"/>
  <c r="BN194" i="19"/>
  <c r="F194" i="19"/>
  <c r="CC58" i="19"/>
  <c r="CB58" i="19"/>
  <c r="CA58" i="19"/>
  <c r="BZ58" i="19"/>
  <c r="BY58" i="19"/>
  <c r="BX58" i="19"/>
  <c r="BN58" i="19"/>
  <c r="F58" i="19"/>
  <c r="BX215" i="19"/>
  <c r="BN215" i="19"/>
  <c r="F215" i="19"/>
  <c r="BX231" i="19"/>
  <c r="BN231" i="19"/>
  <c r="F231" i="19"/>
  <c r="BX208" i="19"/>
  <c r="BN208" i="19"/>
  <c r="F208" i="19"/>
  <c r="BX43" i="19"/>
  <c r="BN43" i="19"/>
  <c r="F43" i="19"/>
  <c r="BX195" i="19"/>
  <c r="BN195" i="19"/>
  <c r="F195" i="19"/>
  <c r="BX179" i="19"/>
  <c r="BN179" i="19"/>
  <c r="F179" i="19"/>
  <c r="BX287" i="19"/>
  <c r="BN287" i="19"/>
  <c r="F287" i="19"/>
  <c r="BX286" i="19"/>
  <c r="BN286" i="19"/>
  <c r="F286" i="19"/>
  <c r="BX49" i="19"/>
  <c r="BN49" i="19"/>
  <c r="AT49" i="19"/>
  <c r="AS49" i="19"/>
  <c r="AR49" i="19"/>
  <c r="F49" i="19"/>
  <c r="CC135" i="19"/>
  <c r="CB135" i="19"/>
  <c r="CA135" i="19"/>
  <c r="BZ135" i="19"/>
  <c r="BY135" i="19"/>
  <c r="BX135" i="19"/>
  <c r="BN135" i="19"/>
  <c r="F135" i="19"/>
  <c r="BX285" i="19"/>
  <c r="BN285" i="19"/>
  <c r="F285" i="19"/>
  <c r="BX188" i="19"/>
  <c r="BN188" i="19"/>
  <c r="F188" i="19"/>
  <c r="BX187" i="19"/>
  <c r="BN187" i="19"/>
  <c r="F187" i="19"/>
  <c r="BX167" i="19"/>
  <c r="BN167" i="19"/>
  <c r="F167" i="19"/>
  <c r="CC61" i="19"/>
  <c r="CB61" i="19"/>
  <c r="CA61" i="19"/>
  <c r="BZ61" i="19"/>
  <c r="BY61" i="19"/>
  <c r="CD61" i="19" s="1"/>
  <c r="BX61" i="19"/>
  <c r="BN61" i="19"/>
  <c r="F61" i="19"/>
  <c r="BX180" i="19"/>
  <c r="BN180" i="19"/>
  <c r="F180" i="19"/>
  <c r="BX301" i="19"/>
  <c r="BN301" i="19"/>
  <c r="AT301" i="19"/>
  <c r="AS301" i="19"/>
  <c r="AR301" i="19"/>
  <c r="F301" i="19"/>
  <c r="CC197" i="19"/>
  <c r="CB197" i="19"/>
  <c r="CA197" i="19"/>
  <c r="BZ197" i="19"/>
  <c r="BY197" i="19"/>
  <c r="BX197" i="19"/>
  <c r="BN197" i="19"/>
  <c r="F197" i="19"/>
  <c r="BX181" i="19"/>
  <c r="BN181" i="19"/>
  <c r="F181" i="19"/>
  <c r="BX54" i="19"/>
  <c r="BN54" i="19"/>
  <c r="F54" i="19"/>
  <c r="BX51" i="19"/>
  <c r="BN51" i="19"/>
  <c r="F91" i="9" s="1"/>
  <c r="F51" i="19"/>
  <c r="BX52" i="19"/>
  <c r="BN52" i="19"/>
  <c r="F52" i="19"/>
  <c r="BX243" i="19"/>
  <c r="BN243" i="19"/>
  <c r="F243" i="19"/>
  <c r="BX269" i="19"/>
  <c r="BN269" i="19"/>
  <c r="AT269" i="19"/>
  <c r="AS269" i="19"/>
  <c r="AR269" i="19"/>
  <c r="F269" i="19"/>
  <c r="CC74" i="19"/>
  <c r="CB74" i="19"/>
  <c r="CA74" i="19"/>
  <c r="BZ74" i="19"/>
  <c r="BY74" i="19"/>
  <c r="CD74" i="19" s="1"/>
  <c r="BX74" i="19"/>
  <c r="BN74" i="19"/>
  <c r="F74" i="19"/>
  <c r="BX178" i="19"/>
  <c r="BN178" i="19"/>
  <c r="F178" i="19"/>
  <c r="BX177" i="19"/>
  <c r="BN177" i="19"/>
  <c r="F177" i="19"/>
  <c r="BX47" i="19"/>
  <c r="BN47" i="19"/>
  <c r="AT47" i="19"/>
  <c r="AS47" i="19"/>
  <c r="AR47" i="19"/>
  <c r="F47" i="19"/>
  <c r="CC125" i="19"/>
  <c r="CB125" i="19"/>
  <c r="CA125" i="19"/>
  <c r="BZ125" i="19"/>
  <c r="BY125" i="19"/>
  <c r="BX125" i="19"/>
  <c r="BN125" i="19"/>
  <c r="F117" i="9" s="1"/>
  <c r="F125" i="19"/>
  <c r="BX271" i="19"/>
  <c r="BN271" i="19"/>
  <c r="F271" i="19"/>
  <c r="BX90" i="19"/>
  <c r="BN90" i="19"/>
  <c r="F90" i="19"/>
  <c r="CC172" i="19"/>
  <c r="CB172" i="19"/>
  <c r="CA172" i="19"/>
  <c r="BZ172" i="19"/>
  <c r="BY172" i="19"/>
  <c r="CD172" i="19" s="1"/>
  <c r="BX172" i="19"/>
  <c r="BN172" i="19"/>
  <c r="F172" i="19"/>
  <c r="CC292" i="19"/>
  <c r="CB292" i="19"/>
  <c r="CA292" i="19"/>
  <c r="BZ292" i="19"/>
  <c r="BY292" i="19"/>
  <c r="BX292" i="19"/>
  <c r="BN292" i="19"/>
  <c r="F292" i="19"/>
  <c r="BX153" i="19"/>
  <c r="BN153" i="19"/>
  <c r="F153" i="19"/>
  <c r="CC40" i="19"/>
  <c r="CB40" i="19"/>
  <c r="CA40" i="19"/>
  <c r="BZ40" i="19"/>
  <c r="BY40" i="19"/>
  <c r="BX40" i="19"/>
  <c r="BN40" i="19"/>
  <c r="F40" i="19"/>
  <c r="BX123" i="19"/>
  <c r="BN123" i="19"/>
  <c r="F123" i="19"/>
  <c r="BX88" i="19"/>
  <c r="BN88" i="19"/>
  <c r="AT88" i="19"/>
  <c r="AS88" i="19"/>
  <c r="AR88" i="19"/>
  <c r="F88" i="19"/>
  <c r="CC127" i="19"/>
  <c r="CB127" i="19"/>
  <c r="CA127" i="19"/>
  <c r="BZ127" i="19"/>
  <c r="BY127" i="19"/>
  <c r="CD127" i="19" s="1"/>
  <c r="BX127" i="19"/>
  <c r="BN127" i="19"/>
  <c r="F127" i="19"/>
  <c r="CC129" i="19"/>
  <c r="CB129" i="19"/>
  <c r="CA129" i="19"/>
  <c r="BZ129" i="19"/>
  <c r="BY129" i="19"/>
  <c r="BX129" i="19"/>
  <c r="BN129" i="19"/>
  <c r="F129" i="19"/>
  <c r="CC306" i="19"/>
  <c r="CB306" i="19"/>
  <c r="CA306" i="19"/>
  <c r="BZ306" i="19"/>
  <c r="BY306" i="19"/>
  <c r="CD306" i="19" s="1"/>
  <c r="BX306" i="19"/>
  <c r="BN306" i="19"/>
  <c r="F306" i="19"/>
  <c r="CC102" i="19"/>
  <c r="CB102" i="19"/>
  <c r="CA102" i="19"/>
  <c r="BZ102" i="19"/>
  <c r="BY102" i="19"/>
  <c r="CD102" i="19" s="1"/>
  <c r="BX102" i="19"/>
  <c r="BN102" i="19"/>
  <c r="AT102" i="19"/>
  <c r="AS102" i="19"/>
  <c r="AR102" i="19"/>
  <c r="F102" i="19"/>
  <c r="BX124" i="19"/>
  <c r="BN124" i="19"/>
  <c r="F124" i="19"/>
  <c r="CC21" i="19"/>
  <c r="CB21" i="19"/>
  <c r="CA21" i="19"/>
  <c r="BZ21" i="19"/>
  <c r="BY21" i="19"/>
  <c r="BX21" i="19"/>
  <c r="BN21" i="19"/>
  <c r="AT21" i="19"/>
  <c r="AS21" i="19"/>
  <c r="AR21" i="19"/>
  <c r="F21" i="19"/>
  <c r="BX154" i="19"/>
  <c r="BN154" i="19"/>
  <c r="AT154" i="19"/>
  <c r="AS154" i="19"/>
  <c r="AR154" i="19"/>
  <c r="F154" i="19"/>
  <c r="CC203" i="19"/>
  <c r="CB203" i="19"/>
  <c r="CA203" i="19"/>
  <c r="BZ203" i="19"/>
  <c r="BY203" i="19"/>
  <c r="BX203" i="19"/>
  <c r="BN203" i="19"/>
  <c r="F203" i="19"/>
  <c r="BX249" i="19"/>
  <c r="BN249" i="19"/>
  <c r="F249" i="19"/>
  <c r="BX239" i="19"/>
  <c r="BN239" i="19"/>
  <c r="F239" i="19"/>
  <c r="CC305" i="19"/>
  <c r="CB305" i="19"/>
  <c r="CA305" i="19"/>
  <c r="BZ305" i="19"/>
  <c r="BY305" i="19"/>
  <c r="BX305" i="19"/>
  <c r="BN305" i="19"/>
  <c r="F305" i="19"/>
  <c r="BX160" i="19"/>
  <c r="BN160" i="19"/>
  <c r="F160" i="19"/>
  <c r="BX107" i="19"/>
  <c r="BN107" i="19"/>
  <c r="AT107" i="19"/>
  <c r="AS107" i="19"/>
  <c r="F107" i="19"/>
  <c r="BX164" i="19"/>
  <c r="BN164" i="19"/>
  <c r="F164" i="19"/>
  <c r="CC267" i="19"/>
  <c r="CB267" i="19"/>
  <c r="CA267" i="19"/>
  <c r="BZ267" i="19"/>
  <c r="BY267" i="19"/>
  <c r="BX267" i="19"/>
  <c r="BN267" i="19"/>
  <c r="F267" i="19"/>
  <c r="CC204" i="19"/>
  <c r="CB204" i="19"/>
  <c r="CA204" i="19"/>
  <c r="BZ204" i="19"/>
  <c r="BY204" i="19"/>
  <c r="BX204" i="19"/>
  <c r="BN204" i="19"/>
  <c r="F204" i="19"/>
  <c r="CC199" i="19"/>
  <c r="CB199" i="19"/>
  <c r="CA199" i="19"/>
  <c r="BZ199" i="19"/>
  <c r="BY199" i="19"/>
  <c r="BX199" i="19"/>
  <c r="BN199" i="19"/>
  <c r="F199" i="19"/>
  <c r="BX237" i="19"/>
  <c r="BN237" i="19"/>
  <c r="F237" i="19"/>
  <c r="CC209" i="19"/>
  <c r="CB209" i="19"/>
  <c r="CA209" i="19"/>
  <c r="BZ209" i="19"/>
  <c r="BY209" i="19"/>
  <c r="CD209" i="19" s="1"/>
  <c r="BX209" i="19"/>
  <c r="BN209" i="19"/>
  <c r="F209" i="19"/>
  <c r="BX132" i="19"/>
  <c r="BN132" i="19"/>
  <c r="F132" i="19"/>
  <c r="CC295" i="19"/>
  <c r="CB295" i="19"/>
  <c r="CA295" i="19"/>
  <c r="BZ295" i="19"/>
  <c r="BY295" i="19"/>
  <c r="BX295" i="19"/>
  <c r="BN295" i="19"/>
  <c r="F295" i="19"/>
  <c r="BX227" i="19"/>
  <c r="BN227" i="19"/>
  <c r="F227" i="19"/>
  <c r="CC100" i="19"/>
  <c r="CB100" i="19"/>
  <c r="CA100" i="19"/>
  <c r="BZ100" i="19"/>
  <c r="BY100" i="19"/>
  <c r="BX100" i="19"/>
  <c r="BN100" i="19"/>
  <c r="F100" i="19"/>
  <c r="CC131" i="19"/>
  <c r="CB131" i="19"/>
  <c r="CA131" i="19"/>
  <c r="BZ131" i="19"/>
  <c r="BY131" i="19"/>
  <c r="BX131" i="19"/>
  <c r="BN131" i="19"/>
  <c r="F131" i="19"/>
  <c r="CC39" i="19"/>
  <c r="CB39" i="19"/>
  <c r="CA39" i="19"/>
  <c r="BZ39" i="19"/>
  <c r="BY39" i="19"/>
  <c r="BX39" i="19"/>
  <c r="BN39" i="19"/>
  <c r="F39" i="19"/>
  <c r="BX193" i="19"/>
  <c r="BN193" i="19"/>
  <c r="AT193" i="19"/>
  <c r="AS193" i="19"/>
  <c r="AR193" i="19"/>
  <c r="F193" i="19"/>
  <c r="CC139" i="19"/>
  <c r="CB139" i="19"/>
  <c r="CA139" i="19"/>
  <c r="BZ139" i="19"/>
  <c r="BY139" i="19"/>
  <c r="BX139" i="19"/>
  <c r="BN139" i="19"/>
  <c r="F139" i="19"/>
  <c r="BX120" i="19"/>
  <c r="BN120" i="19"/>
  <c r="AR120" i="19"/>
  <c r="F120" i="19"/>
  <c r="BX115" i="19"/>
  <c r="BN115" i="19"/>
  <c r="F115" i="19"/>
  <c r="BX118" i="19"/>
  <c r="BN118" i="19"/>
  <c r="AT118" i="19"/>
  <c r="AS118" i="19"/>
  <c r="AR118" i="19"/>
  <c r="BX263" i="19"/>
  <c r="BN263" i="19"/>
  <c r="F263" i="19"/>
  <c r="BX171" i="19"/>
  <c r="BN171" i="19"/>
  <c r="F171" i="19"/>
  <c r="BX42" i="19"/>
  <c r="BN42" i="19"/>
  <c r="F42" i="19"/>
  <c r="CC163" i="19"/>
  <c r="CB163" i="19"/>
  <c r="CA163" i="19"/>
  <c r="BZ163" i="19"/>
  <c r="BY163" i="19"/>
  <c r="BX163" i="19"/>
  <c r="BN163" i="19"/>
  <c r="F163" i="19"/>
  <c r="BX70" i="19"/>
  <c r="BN70" i="19"/>
  <c r="F70" i="19"/>
  <c r="BX276" i="19"/>
  <c r="BN276" i="19"/>
  <c r="F276" i="19"/>
  <c r="BX9" i="19"/>
  <c r="BN9" i="19"/>
  <c r="F9" i="19"/>
  <c r="BX189" i="19"/>
  <c r="BN189" i="19"/>
  <c r="AT189" i="19"/>
  <c r="AS189" i="19"/>
  <c r="AR189" i="19"/>
  <c r="F189" i="19"/>
  <c r="BX168" i="19"/>
  <c r="BN168" i="19"/>
  <c r="F168" i="19"/>
  <c r="CC104" i="19"/>
  <c r="CB104" i="19"/>
  <c r="CA104" i="19"/>
  <c r="BZ104" i="19"/>
  <c r="BY104" i="19"/>
  <c r="BX104" i="19"/>
  <c r="BN104" i="19"/>
  <c r="F104" i="19"/>
  <c r="BX255" i="19"/>
  <c r="BN255" i="19"/>
  <c r="F255" i="19"/>
  <c r="BX183" i="19"/>
  <c r="BN183" i="19"/>
  <c r="F183" i="19"/>
  <c r="BX48" i="19"/>
  <c r="BN48" i="19"/>
  <c r="AT48" i="19"/>
  <c r="AS48" i="19"/>
  <c r="AR48" i="19"/>
  <c r="F48" i="19"/>
  <c r="BX268" i="19"/>
  <c r="BN268" i="19"/>
  <c r="F268" i="19"/>
  <c r="CC162" i="19"/>
  <c r="CB162" i="19"/>
  <c r="CA162" i="19"/>
  <c r="BZ162" i="19"/>
  <c r="BY162" i="19"/>
  <c r="BX162" i="19"/>
  <c r="BN162" i="19"/>
  <c r="F162" i="19"/>
  <c r="CC266" i="19"/>
  <c r="CB266" i="19"/>
  <c r="CA266" i="19"/>
  <c r="BZ266" i="19"/>
  <c r="BY266" i="19"/>
  <c r="CD266" i="19" s="1"/>
  <c r="BX266" i="19"/>
  <c r="BN266" i="19"/>
  <c r="F266" i="19"/>
  <c r="CC122" i="19"/>
  <c r="CB122" i="19"/>
  <c r="CA122" i="19"/>
  <c r="BZ122" i="19"/>
  <c r="BY122" i="19"/>
  <c r="BX122" i="19"/>
  <c r="BN122" i="19"/>
  <c r="F122" i="19"/>
  <c r="CC45" i="19"/>
  <c r="CB45" i="19"/>
  <c r="CA45" i="19"/>
  <c r="BZ45" i="19"/>
  <c r="BY45" i="19"/>
  <c r="BX45" i="19"/>
  <c r="BN45" i="19"/>
  <c r="AT45" i="19"/>
  <c r="AS45" i="19"/>
  <c r="F45" i="19"/>
  <c r="BX11" i="19"/>
  <c r="BN11" i="19"/>
  <c r="F11" i="19"/>
  <c r="CC311" i="19"/>
  <c r="CB311" i="19"/>
  <c r="CA311" i="19"/>
  <c r="BZ311" i="19"/>
  <c r="BY311" i="19"/>
  <c r="BX311" i="19"/>
  <c r="BN311" i="19"/>
  <c r="F311" i="19"/>
  <c r="BX236" i="19"/>
  <c r="BN236" i="19"/>
  <c r="F236" i="19"/>
  <c r="BX235" i="19"/>
  <c r="BN235" i="19"/>
  <c r="F235" i="19"/>
  <c r="BX273" i="19"/>
  <c r="BN273" i="19"/>
  <c r="AE273" i="19"/>
  <c r="AD273" i="19"/>
  <c r="F273" i="19"/>
  <c r="CC138" i="19"/>
  <c r="CB138" i="19"/>
  <c r="CA138" i="19"/>
  <c r="BZ138" i="19"/>
  <c r="BY138" i="19"/>
  <c r="BX138" i="19"/>
  <c r="BN138" i="19"/>
  <c r="F138" i="19"/>
  <c r="BX143" i="19"/>
  <c r="BN143" i="19"/>
  <c r="F143" i="19"/>
  <c r="CB22" i="19"/>
  <c r="CA22" i="19"/>
  <c r="BZ22" i="19"/>
  <c r="BY22" i="19"/>
  <c r="BX22" i="19"/>
  <c r="BN22" i="19"/>
  <c r="BM22" i="19"/>
  <c r="CC22" i="19" s="1"/>
  <c r="AE22" i="19"/>
  <c r="AD22" i="19"/>
  <c r="AB22" i="19"/>
  <c r="F22" i="19"/>
  <c r="CC165" i="19"/>
  <c r="CB165" i="19"/>
  <c r="CA165" i="19"/>
  <c r="BZ165" i="19"/>
  <c r="BY165" i="19"/>
  <c r="CD165" i="19" s="1"/>
  <c r="BX165" i="19"/>
  <c r="BN165" i="19"/>
  <c r="F165" i="19"/>
  <c r="BX142" i="19"/>
  <c r="BN142" i="19"/>
  <c r="F142" i="19"/>
  <c r="BX230" i="19"/>
  <c r="BN230" i="19"/>
  <c r="AE230" i="19"/>
  <c r="AD230" i="19"/>
  <c r="F230" i="19"/>
  <c r="BX82" i="19"/>
  <c r="BN82" i="19"/>
  <c r="F82" i="19"/>
  <c r="CC80" i="19"/>
  <c r="CB80" i="19"/>
  <c r="CA80" i="19"/>
  <c r="BX80" i="19"/>
  <c r="BN80" i="19"/>
  <c r="AT80" i="19"/>
  <c r="AS80" i="19"/>
  <c r="AR80" i="19"/>
  <c r="F80" i="19"/>
  <c r="BX81" i="19"/>
  <c r="BN81" i="19"/>
  <c r="F81" i="19"/>
  <c r="CC55" i="19"/>
  <c r="CB55" i="19"/>
  <c r="CA55" i="19"/>
  <c r="BZ55" i="19"/>
  <c r="BY55" i="19"/>
  <c r="BX55" i="19"/>
  <c r="BN55" i="19"/>
  <c r="F55" i="19"/>
  <c r="BX29" i="19"/>
  <c r="BN29" i="19"/>
  <c r="AT29" i="19"/>
  <c r="AS29" i="19"/>
  <c r="AR29" i="19"/>
  <c r="F29" i="19"/>
  <c r="CC121" i="19"/>
  <c r="CB121" i="19"/>
  <c r="CA121" i="19"/>
  <c r="BZ121" i="19"/>
  <c r="BY121" i="19"/>
  <c r="CD121" i="19" s="1"/>
  <c r="BX121" i="19"/>
  <c r="F121" i="19"/>
  <c r="BX108" i="19"/>
  <c r="BN108" i="19"/>
  <c r="F108" i="19"/>
  <c r="BX250" i="19"/>
  <c r="BN250" i="19"/>
  <c r="F250" i="19"/>
  <c r="BX156" i="19"/>
  <c r="BN156" i="19"/>
  <c r="F156" i="19"/>
  <c r="BX262" i="19"/>
  <c r="BN262" i="19"/>
  <c r="F262" i="19"/>
  <c r="BX289" i="19"/>
  <c r="BN289" i="19"/>
  <c r="F289" i="19"/>
  <c r="CC207" i="19"/>
  <c r="CB207" i="19"/>
  <c r="CA207" i="19"/>
  <c r="BZ207" i="19"/>
  <c r="BY207" i="19"/>
  <c r="CD207" i="19" s="1"/>
  <c r="BX207" i="19"/>
  <c r="BN207" i="19"/>
  <c r="F207" i="19"/>
  <c r="BX113" i="19"/>
  <c r="BN113" i="19"/>
  <c r="AT113" i="19"/>
  <c r="AS113" i="19"/>
  <c r="AR113" i="19"/>
  <c r="F113" i="19"/>
  <c r="BX254" i="19"/>
  <c r="BN254" i="19"/>
  <c r="F254" i="19"/>
  <c r="BX148" i="19"/>
  <c r="BN148" i="19"/>
  <c r="F148" i="19"/>
  <c r="BX182" i="19"/>
  <c r="BN182" i="19"/>
  <c r="F182" i="19"/>
  <c r="BX257" i="19"/>
  <c r="BN257" i="19"/>
  <c r="F257" i="19"/>
  <c r="BX241" i="19"/>
  <c r="BN241" i="19"/>
  <c r="F241" i="19"/>
  <c r="BX75" i="19"/>
  <c r="BN75" i="19"/>
  <c r="AT75" i="19"/>
  <c r="AS75" i="19"/>
  <c r="AR75" i="19"/>
  <c r="F75" i="19"/>
  <c r="BX105" i="19"/>
  <c r="BN105" i="19"/>
  <c r="F105" i="19"/>
  <c r="BX106" i="19"/>
  <c r="BN106" i="19"/>
  <c r="F106" i="19"/>
  <c r="BX210" i="19"/>
  <c r="BN210" i="19"/>
  <c r="F210" i="19"/>
  <c r="CC150" i="19"/>
  <c r="CB150" i="19"/>
  <c r="CA150" i="19"/>
  <c r="BZ150" i="19"/>
  <c r="BY150" i="19"/>
  <c r="CD150" i="19" s="1"/>
  <c r="BX150" i="19"/>
  <c r="BN150" i="19"/>
  <c r="AT150" i="19"/>
  <c r="AS150" i="19"/>
  <c r="AR150" i="19"/>
  <c r="F150" i="19"/>
  <c r="BX299" i="19"/>
  <c r="BN299" i="19"/>
  <c r="F299" i="19"/>
  <c r="BX272" i="19"/>
  <c r="BN272" i="19"/>
  <c r="F272" i="19"/>
  <c r="BX114" i="19"/>
  <c r="BN114" i="19"/>
  <c r="F114" i="19"/>
  <c r="BX53" i="19"/>
  <c r="BN53" i="19"/>
  <c r="AT53" i="19"/>
  <c r="AS53" i="19"/>
  <c r="AR53" i="19"/>
  <c r="F53" i="19"/>
  <c r="BX270" i="19"/>
  <c r="BN270" i="19"/>
  <c r="F270" i="19"/>
  <c r="BX174" i="19"/>
  <c r="BN174" i="19"/>
  <c r="AE174" i="19"/>
  <c r="AD174" i="19"/>
  <c r="AB174" i="19"/>
  <c r="F174" i="19"/>
  <c r="CC309" i="19"/>
  <c r="CB309" i="19"/>
  <c r="CA309" i="19"/>
  <c r="BZ309" i="19"/>
  <c r="BY309" i="19"/>
  <c r="CD309" i="19" s="1"/>
  <c r="BX309" i="19"/>
  <c r="BN309" i="19"/>
  <c r="F309" i="19"/>
  <c r="BX216" i="19"/>
  <c r="BN216" i="19"/>
  <c r="F216" i="19"/>
  <c r="CC166" i="19"/>
  <c r="CB166" i="19"/>
  <c r="CA166" i="19"/>
  <c r="BZ166" i="19"/>
  <c r="BY166" i="19"/>
  <c r="CD166" i="19" s="1"/>
  <c r="BX166" i="19"/>
  <c r="BN166" i="19"/>
  <c r="F166" i="19"/>
  <c r="CC212" i="19"/>
  <c r="CB212" i="19"/>
  <c r="CA212" i="19"/>
  <c r="BZ212" i="19"/>
  <c r="BY212" i="19"/>
  <c r="BX212" i="19"/>
  <c r="BN212" i="19"/>
  <c r="F212" i="19"/>
  <c r="BX8" i="19"/>
  <c r="BN8" i="19"/>
  <c r="AT8" i="19"/>
  <c r="AS8" i="19"/>
  <c r="AR8" i="19"/>
  <c r="F8" i="19"/>
  <c r="CC260" i="19"/>
  <c r="CB260" i="19"/>
  <c r="CA260" i="19"/>
  <c r="BZ260" i="19"/>
  <c r="BY260" i="19"/>
  <c r="BX260" i="19"/>
  <c r="BN260" i="19"/>
  <c r="F260" i="19"/>
  <c r="BX76" i="19"/>
  <c r="BN76" i="19"/>
  <c r="F76" i="19"/>
  <c r="CC23" i="19"/>
  <c r="CB23" i="19"/>
  <c r="CA23" i="19"/>
  <c r="BZ23" i="19"/>
  <c r="BY23" i="19"/>
  <c r="BX23" i="19"/>
  <c r="BN23" i="19"/>
  <c r="AT23" i="19"/>
  <c r="AS23" i="19"/>
  <c r="AR23" i="19"/>
  <c r="F23" i="19"/>
  <c r="CC60" i="19"/>
  <c r="CB60" i="19"/>
  <c r="CA60" i="19"/>
  <c r="BZ60" i="19"/>
  <c r="BY60" i="19"/>
  <c r="BX60" i="19"/>
  <c r="BN60" i="19"/>
  <c r="F60" i="19"/>
  <c r="BX240" i="19"/>
  <c r="BN240" i="19"/>
  <c r="AT240" i="19"/>
  <c r="AS240" i="19"/>
  <c r="F240" i="19"/>
  <c r="CC24" i="19"/>
  <c r="CB24" i="19"/>
  <c r="CA24" i="19"/>
  <c r="BZ24" i="19"/>
  <c r="BY24" i="19"/>
  <c r="CD24" i="19" s="1"/>
  <c r="BX24" i="19"/>
  <c r="BN24" i="19"/>
  <c r="F24" i="19"/>
  <c r="BX97" i="19"/>
  <c r="BN97" i="19"/>
  <c r="F97" i="19"/>
  <c r="BX31" i="19"/>
  <c r="BN31" i="19"/>
  <c r="F31" i="19"/>
  <c r="BX251" i="19"/>
  <c r="BN251" i="19"/>
  <c r="F251" i="19"/>
  <c r="CC96" i="19"/>
  <c r="CB96" i="19"/>
  <c r="CA96" i="19"/>
  <c r="BZ96" i="19"/>
  <c r="BY96" i="19"/>
  <c r="CD96" i="19" s="1"/>
  <c r="BX96" i="19"/>
  <c r="BN96" i="19"/>
  <c r="AT96" i="19"/>
  <c r="AS96" i="19"/>
  <c r="AR96" i="19"/>
  <c r="F96" i="19"/>
  <c r="BX291" i="19"/>
  <c r="BN291" i="19"/>
  <c r="F291" i="19"/>
  <c r="CC200" i="19"/>
  <c r="CB200" i="19"/>
  <c r="CA200" i="19"/>
  <c r="BZ200" i="19"/>
  <c r="BY200" i="19"/>
  <c r="BX200" i="19"/>
  <c r="BN200" i="19"/>
  <c r="F200" i="19"/>
  <c r="CC213" i="19"/>
  <c r="CB213" i="19"/>
  <c r="CA213" i="19"/>
  <c r="BZ213" i="19"/>
  <c r="BY213" i="19"/>
  <c r="CD213" i="19" s="1"/>
  <c r="BX213" i="19"/>
  <c r="BN213" i="19"/>
  <c r="F213" i="19"/>
  <c r="BX93" i="19"/>
  <c r="BN93" i="19"/>
  <c r="F93" i="19"/>
  <c r="CC128" i="19"/>
  <c r="CB128" i="19"/>
  <c r="CA128" i="19"/>
  <c r="BZ128" i="19"/>
  <c r="BY128" i="19"/>
  <c r="CD128" i="19" s="1"/>
  <c r="BX128" i="19"/>
  <c r="BN128" i="19"/>
  <c r="F128" i="19"/>
  <c r="BX5" i="19"/>
  <c r="BN5" i="19"/>
  <c r="F5" i="19"/>
  <c r="BX290" i="19"/>
  <c r="BN290" i="19"/>
  <c r="F290" i="19"/>
  <c r="BX111" i="19"/>
  <c r="BN111" i="19"/>
  <c r="F111" i="19"/>
  <c r="CC141" i="19"/>
  <c r="CB141" i="19"/>
  <c r="CA141" i="19"/>
  <c r="BZ141" i="19"/>
  <c r="BY141" i="19"/>
  <c r="BX141" i="19"/>
  <c r="BN141" i="19"/>
  <c r="F141" i="19"/>
  <c r="BX110" i="19"/>
  <c r="BN110" i="19"/>
  <c r="F110" i="19"/>
  <c r="BX146" i="19"/>
  <c r="BN146" i="19"/>
  <c r="F146" i="19"/>
  <c r="BX277" i="19"/>
  <c r="BN277" i="19"/>
  <c r="F277" i="19"/>
  <c r="CC99" i="19"/>
  <c r="CB99" i="19"/>
  <c r="CA99" i="19"/>
  <c r="BZ99" i="19"/>
  <c r="BY99" i="19"/>
  <c r="BX99" i="19"/>
  <c r="BN99" i="19"/>
  <c r="F99" i="19"/>
  <c r="CC25" i="19"/>
  <c r="CB25" i="19"/>
  <c r="CA25" i="19"/>
  <c r="BZ25" i="19"/>
  <c r="BY25" i="19"/>
  <c r="CD25" i="19" s="1"/>
  <c r="BX25" i="19"/>
  <c r="BN25" i="19"/>
  <c r="F25" i="19"/>
  <c r="BX68" i="19"/>
  <c r="BN68" i="19"/>
  <c r="F68" i="19"/>
  <c r="BX66" i="19"/>
  <c r="BN66" i="19"/>
  <c r="F66" i="19"/>
  <c r="BX67" i="19"/>
  <c r="BN67" i="19"/>
  <c r="F67" i="19"/>
  <c r="BX65" i="19"/>
  <c r="BN65" i="19"/>
  <c r="F65" i="19"/>
  <c r="CC57" i="19"/>
  <c r="CB57" i="19"/>
  <c r="CA57" i="19"/>
  <c r="BZ57" i="19"/>
  <c r="BY57" i="19"/>
  <c r="BX57" i="19"/>
  <c r="BN57" i="19"/>
  <c r="AT57" i="19"/>
  <c r="AS57" i="19"/>
  <c r="AR57" i="19"/>
  <c r="F57" i="19"/>
  <c r="BX184" i="19"/>
  <c r="BN184" i="19"/>
  <c r="F184" i="19"/>
  <c r="CC4" i="19"/>
  <c r="CB4" i="19"/>
  <c r="CA4" i="19"/>
  <c r="BZ4" i="19"/>
  <c r="BY4" i="19"/>
  <c r="CD4" i="19" s="1"/>
  <c r="BX4" i="19"/>
  <c r="BN4" i="19"/>
  <c r="F4" i="19"/>
  <c r="CC18" i="19"/>
  <c r="CB18" i="19"/>
  <c r="CA18" i="19"/>
  <c r="BZ18" i="19"/>
  <c r="BY18" i="19"/>
  <c r="BX18" i="19"/>
  <c r="BN18" i="19"/>
  <c r="F18" i="19"/>
  <c r="BX233" i="19"/>
  <c r="BN233" i="19"/>
  <c r="F233" i="19"/>
  <c r="CC20" i="19"/>
  <c r="CB20" i="19"/>
  <c r="CA20" i="19"/>
  <c r="BZ20" i="19"/>
  <c r="BY20" i="19"/>
  <c r="BX20" i="19"/>
  <c r="BN20" i="19"/>
  <c r="AT20" i="19"/>
  <c r="AS20" i="19"/>
  <c r="AR20" i="19"/>
  <c r="F20" i="19"/>
  <c r="BX261" i="19"/>
  <c r="BN261" i="19"/>
  <c r="F261" i="19"/>
  <c r="BX176" i="19"/>
  <c r="BN176" i="19"/>
  <c r="F176" i="19"/>
  <c r="CC214" i="19"/>
  <c r="CB214" i="19"/>
  <c r="CA214" i="19"/>
  <c r="BZ214" i="19"/>
  <c r="BY214" i="19"/>
  <c r="CD214" i="19" s="1"/>
  <c r="BX214" i="19"/>
  <c r="BN214" i="19"/>
  <c r="F214" i="19"/>
  <c r="CC69" i="19"/>
  <c r="CB69" i="19"/>
  <c r="CA69" i="19"/>
  <c r="BZ69" i="19"/>
  <c r="BY69" i="19"/>
  <c r="CD69" i="19" s="1"/>
  <c r="BX69" i="19"/>
  <c r="BN69" i="19"/>
  <c r="F69" i="19"/>
  <c r="CC170" i="19"/>
  <c r="CB170" i="19"/>
  <c r="CA170" i="19"/>
  <c r="BZ170" i="19"/>
  <c r="BY170" i="19"/>
  <c r="BX170" i="19"/>
  <c r="BN170" i="19"/>
  <c r="F170" i="19"/>
  <c r="CC140" i="19"/>
  <c r="CB140" i="19"/>
  <c r="CA140" i="19"/>
  <c r="BZ140" i="19"/>
  <c r="BY140" i="19"/>
  <c r="CD140" i="19" s="1"/>
  <c r="BX140" i="19"/>
  <c r="BN140" i="19"/>
  <c r="F140" i="19"/>
  <c r="BX228" i="19"/>
  <c r="BN228" i="19"/>
  <c r="F36" i="9" s="1"/>
  <c r="F228" i="19"/>
  <c r="BX223" i="19"/>
  <c r="BN223" i="19"/>
  <c r="F223" i="19"/>
  <c r="BX220" i="19"/>
  <c r="BN220" i="19"/>
  <c r="F220" i="19"/>
  <c r="CC151" i="19"/>
  <c r="CB151" i="19"/>
  <c r="CA151" i="19"/>
  <c r="BZ151" i="19"/>
  <c r="BY151" i="19"/>
  <c r="BX151" i="19"/>
  <c r="BN151" i="19"/>
  <c r="F151" i="19"/>
  <c r="CC275" i="19"/>
  <c r="CB275" i="19"/>
  <c r="CA275" i="19"/>
  <c r="BZ275" i="19"/>
  <c r="BY275" i="19"/>
  <c r="CD275" i="19" s="1"/>
  <c r="BX275" i="19"/>
  <c r="BN275" i="19"/>
  <c r="F275" i="19"/>
  <c r="CC56" i="19"/>
  <c r="CB56" i="19"/>
  <c r="CA56" i="19"/>
  <c r="BZ56" i="19"/>
  <c r="BY56" i="19"/>
  <c r="BX56" i="19"/>
  <c r="BN56" i="19"/>
  <c r="F56" i="19"/>
  <c r="BX6" i="19"/>
  <c r="BN6" i="19"/>
  <c r="F6" i="19"/>
  <c r="BX246" i="19"/>
  <c r="BN246" i="19"/>
  <c r="F246" i="19"/>
  <c r="CC173" i="19"/>
  <c r="CB173" i="19"/>
  <c r="CA173" i="19"/>
  <c r="BZ173" i="19"/>
  <c r="BY173" i="19"/>
  <c r="BX173" i="19"/>
  <c r="BN173" i="19"/>
  <c r="AT173" i="19"/>
  <c r="AS173" i="19"/>
  <c r="AR173" i="19"/>
  <c r="F173" i="19"/>
  <c r="CC169" i="19"/>
  <c r="CB169" i="19"/>
  <c r="CA169" i="19"/>
  <c r="BZ169" i="19"/>
  <c r="BY169" i="19"/>
  <c r="BX169" i="19"/>
  <c r="BN169" i="19"/>
  <c r="F169" i="19"/>
  <c r="BX222" i="19"/>
  <c r="BN222" i="19"/>
  <c r="F222" i="19"/>
  <c r="CC41" i="19"/>
  <c r="CB41" i="19"/>
  <c r="CA41" i="19"/>
  <c r="BZ41" i="19"/>
  <c r="BY41" i="19"/>
  <c r="CD41" i="19" s="1"/>
  <c r="BX41" i="19"/>
  <c r="BN41" i="19"/>
  <c r="F41" i="19"/>
  <c r="BX95" i="19"/>
  <c r="BN95" i="19"/>
  <c r="F95" i="19"/>
  <c r="CC17" i="19"/>
  <c r="CB17" i="19"/>
  <c r="CA17" i="19"/>
  <c r="BZ17" i="19"/>
  <c r="BY17" i="19"/>
  <c r="CD17" i="19" s="1"/>
  <c r="BX17" i="19"/>
  <c r="BN17" i="19"/>
  <c r="F17" i="19"/>
  <c r="BX244" i="19"/>
  <c r="BN244" i="19"/>
  <c r="F244" i="19"/>
  <c r="BX36" i="19"/>
  <c r="BN36" i="19"/>
  <c r="F36" i="19"/>
  <c r="BX77" i="19"/>
  <c r="BN77" i="19"/>
  <c r="F77" i="19"/>
  <c r="BX78" i="19"/>
  <c r="BN78" i="19"/>
  <c r="F78" i="19"/>
  <c r="CC307" i="19"/>
  <c r="CB307" i="19"/>
  <c r="CA307" i="19"/>
  <c r="BZ307" i="19"/>
  <c r="BY307" i="19"/>
  <c r="BX307" i="19"/>
  <c r="BN307" i="19"/>
  <c r="F307" i="19"/>
  <c r="BX72" i="19"/>
  <c r="BN72" i="19"/>
  <c r="F72" i="19"/>
  <c r="BX34" i="19"/>
  <c r="BN34" i="19"/>
  <c r="F34" i="19"/>
  <c r="BX33" i="19"/>
  <c r="BN33" i="19"/>
  <c r="F33" i="19"/>
  <c r="BX35" i="19"/>
  <c r="BN35" i="19"/>
  <c r="F35" i="19"/>
  <c r="BX32" i="19"/>
  <c r="BN32" i="19"/>
  <c r="F32" i="19"/>
  <c r="CC303" i="19"/>
  <c r="CB303" i="19"/>
  <c r="CA303" i="19"/>
  <c r="BZ303" i="19"/>
  <c r="BY303" i="19"/>
  <c r="BX303" i="19"/>
  <c r="BN303" i="19"/>
  <c r="F303" i="19"/>
  <c r="BX248" i="19"/>
  <c r="BN248" i="19"/>
  <c r="F248" i="19"/>
  <c r="BX46" i="19"/>
  <c r="BN46" i="19"/>
  <c r="AT46" i="19"/>
  <c r="AS46" i="19"/>
  <c r="AR46" i="19"/>
  <c r="F46" i="19"/>
  <c r="BX300" i="19"/>
  <c r="BN300" i="19"/>
  <c r="AT300" i="19"/>
  <c r="AS300" i="19"/>
  <c r="AR300" i="19"/>
  <c r="F300" i="19"/>
  <c r="CC259" i="19"/>
  <c r="CB259" i="19"/>
  <c r="CA259" i="19"/>
  <c r="BZ259" i="19"/>
  <c r="BY259" i="19"/>
  <c r="BX259" i="19"/>
  <c r="BN259" i="19"/>
  <c r="F259" i="19"/>
  <c r="BX92" i="19"/>
  <c r="BN92" i="19"/>
  <c r="F92" i="19"/>
  <c r="BX7" i="19"/>
  <c r="BN7" i="19"/>
  <c r="F7" i="19"/>
  <c r="BX211" i="19"/>
  <c r="BN211" i="19"/>
  <c r="F211" i="19"/>
  <c r="CC308" i="19"/>
  <c r="CB308" i="19"/>
  <c r="CA308" i="19"/>
  <c r="BZ308" i="19"/>
  <c r="BY308" i="19"/>
  <c r="CD308" i="19" s="1"/>
  <c r="BX308" i="19"/>
  <c r="BN308" i="19"/>
  <c r="F308" i="19"/>
  <c r="BX89" i="19"/>
  <c r="BN89" i="19"/>
  <c r="AB89" i="19"/>
  <c r="F89" i="19"/>
  <c r="F10" i="18"/>
  <c r="E10" i="18"/>
  <c r="D10" i="18"/>
  <c r="C10" i="18"/>
  <c r="B10" i="18"/>
  <c r="F6" i="18"/>
  <c r="E6" i="18"/>
  <c r="D6" i="18"/>
  <c r="C6" i="18"/>
  <c r="B6" i="18"/>
  <c r="F5" i="18"/>
  <c r="E5" i="18"/>
  <c r="D5" i="18"/>
  <c r="D7" i="18" s="1"/>
  <c r="C5" i="18"/>
  <c r="B5" i="18"/>
  <c r="B27" i="17"/>
  <c r="B26" i="17"/>
  <c r="B25" i="17"/>
  <c r="B24" i="17"/>
  <c r="B23" i="17"/>
  <c r="B22" i="17"/>
  <c r="B21" i="17"/>
  <c r="B20" i="17"/>
  <c r="B19" i="17"/>
  <c r="B18" i="17"/>
  <c r="B17" i="17"/>
  <c r="B16" i="17"/>
  <c r="B15" i="17"/>
  <c r="B14" i="17"/>
  <c r="B13" i="17"/>
  <c r="B12" i="17"/>
  <c r="F8" i="17"/>
  <c r="E8" i="17"/>
  <c r="D8" i="17"/>
  <c r="C8" i="17"/>
  <c r="B8" i="17"/>
  <c r="G7" i="17"/>
  <c r="F7" i="17"/>
  <c r="E7" i="17"/>
  <c r="D7" i="17"/>
  <c r="C7" i="17"/>
  <c r="B7" i="17"/>
  <c r="G6" i="17"/>
  <c r="F6" i="17"/>
  <c r="E6" i="17"/>
  <c r="D6" i="17"/>
  <c r="C6" i="17"/>
  <c r="B6" i="17"/>
  <c r="E5" i="17"/>
  <c r="D5" i="17"/>
  <c r="C5" i="17"/>
  <c r="B5" i="17"/>
  <c r="F10" i="16"/>
  <c r="E10" i="16"/>
  <c r="D10" i="16"/>
  <c r="C10" i="16"/>
  <c r="B10" i="16"/>
  <c r="F9" i="16"/>
  <c r="E9" i="16"/>
  <c r="D9" i="16"/>
  <c r="C9" i="16"/>
  <c r="B9" i="16"/>
  <c r="F8" i="16"/>
  <c r="E8" i="16"/>
  <c r="D8" i="16"/>
  <c r="C8" i="16"/>
  <c r="B8" i="16"/>
  <c r="F7" i="16"/>
  <c r="E7" i="16"/>
  <c r="D7" i="16"/>
  <c r="C7" i="16"/>
  <c r="B7" i="16"/>
  <c r="F6" i="16"/>
  <c r="E6" i="16"/>
  <c r="D6" i="16"/>
  <c r="C6" i="16"/>
  <c r="B6" i="16"/>
  <c r="F5" i="16"/>
  <c r="E5" i="16"/>
  <c r="D5" i="16"/>
  <c r="C5" i="16"/>
  <c r="B5" i="16"/>
  <c r="F4" i="16"/>
  <c r="E4" i="16"/>
  <c r="D4" i="16"/>
  <c r="C4" i="16"/>
  <c r="B4" i="16"/>
  <c r="F3" i="16"/>
  <c r="E3" i="16"/>
  <c r="D3" i="16"/>
  <c r="C3" i="16"/>
  <c r="B3" i="16"/>
  <c r="F181" i="15"/>
  <c r="E181" i="15"/>
  <c r="D181" i="15"/>
  <c r="C181" i="15"/>
  <c r="B181" i="15"/>
  <c r="F180" i="15"/>
  <c r="E180" i="15"/>
  <c r="D180" i="15"/>
  <c r="C180" i="15"/>
  <c r="B180" i="15"/>
  <c r="F179" i="15"/>
  <c r="E179" i="15"/>
  <c r="D179" i="15"/>
  <c r="C179" i="15"/>
  <c r="B179" i="15"/>
  <c r="F178" i="15"/>
  <c r="E178" i="15"/>
  <c r="D178" i="15"/>
  <c r="C178" i="15"/>
  <c r="B178" i="15"/>
  <c r="F177" i="15"/>
  <c r="E177" i="15"/>
  <c r="D177" i="15"/>
  <c r="C177" i="15"/>
  <c r="B177" i="15"/>
  <c r="F176" i="15"/>
  <c r="E176" i="15"/>
  <c r="D176" i="15"/>
  <c r="C176" i="15"/>
  <c r="B176" i="15"/>
  <c r="F175" i="15"/>
  <c r="E175" i="15"/>
  <c r="D175" i="15"/>
  <c r="C175" i="15"/>
  <c r="B175" i="15"/>
  <c r="F44" i="15"/>
  <c r="E44" i="15"/>
  <c r="D44" i="15"/>
  <c r="C44" i="15"/>
  <c r="B44" i="15"/>
  <c r="F32" i="15"/>
  <c r="E32" i="15"/>
  <c r="D32" i="15"/>
  <c r="C32" i="15"/>
  <c r="B32" i="15"/>
  <c r="F6" i="15"/>
  <c r="E6" i="15"/>
  <c r="D6" i="15"/>
  <c r="C6" i="15"/>
  <c r="B6" i="15"/>
  <c r="F174" i="15"/>
  <c r="E174" i="15"/>
  <c r="D174" i="15"/>
  <c r="C174" i="15"/>
  <c r="B174" i="15"/>
  <c r="F173" i="15"/>
  <c r="E173" i="15"/>
  <c r="D173" i="15"/>
  <c r="C173" i="15"/>
  <c r="B173" i="15"/>
  <c r="F172" i="15"/>
  <c r="E172" i="15"/>
  <c r="D172" i="15"/>
  <c r="C172" i="15"/>
  <c r="B172" i="15"/>
  <c r="F36" i="15"/>
  <c r="E36" i="15"/>
  <c r="D36" i="15"/>
  <c r="C36" i="15"/>
  <c r="B36" i="15"/>
  <c r="F171" i="15"/>
  <c r="E171" i="15"/>
  <c r="D171" i="15"/>
  <c r="C171" i="15"/>
  <c r="B171" i="15"/>
  <c r="F170" i="15"/>
  <c r="E170" i="15"/>
  <c r="D170" i="15"/>
  <c r="C170" i="15"/>
  <c r="B170" i="15"/>
  <c r="F169" i="15"/>
  <c r="E169" i="15"/>
  <c r="D169" i="15"/>
  <c r="C169" i="15"/>
  <c r="B169" i="15"/>
  <c r="F168" i="15"/>
  <c r="E168" i="15"/>
  <c r="D168" i="15"/>
  <c r="C168" i="15"/>
  <c r="B168" i="15"/>
  <c r="F167" i="15"/>
  <c r="E167" i="15"/>
  <c r="D167" i="15"/>
  <c r="C167" i="15"/>
  <c r="B167" i="15"/>
  <c r="F166" i="15"/>
  <c r="E166" i="15"/>
  <c r="D166" i="15"/>
  <c r="C166" i="15"/>
  <c r="B166" i="15"/>
  <c r="F40" i="15"/>
  <c r="E40" i="15"/>
  <c r="D40" i="15"/>
  <c r="C40" i="15"/>
  <c r="B40" i="15"/>
  <c r="F165" i="15"/>
  <c r="E165" i="15"/>
  <c r="D165" i="15"/>
  <c r="C165" i="15"/>
  <c r="B165" i="15"/>
  <c r="F164" i="15"/>
  <c r="E164" i="15"/>
  <c r="D164" i="15"/>
  <c r="C164" i="15"/>
  <c r="B164" i="15"/>
  <c r="F163" i="15"/>
  <c r="E163" i="15"/>
  <c r="D163" i="15"/>
  <c r="C163" i="15"/>
  <c r="B163" i="15"/>
  <c r="F162" i="15"/>
  <c r="E162" i="15"/>
  <c r="D162" i="15"/>
  <c r="C162" i="15"/>
  <c r="B162" i="15"/>
  <c r="F161" i="15"/>
  <c r="E161" i="15"/>
  <c r="D161" i="15"/>
  <c r="C161" i="15"/>
  <c r="B161" i="15"/>
  <c r="F160" i="15"/>
  <c r="E160" i="15"/>
  <c r="D160" i="15"/>
  <c r="C160" i="15"/>
  <c r="B160" i="15"/>
  <c r="F159" i="15"/>
  <c r="E159" i="15"/>
  <c r="D159" i="15"/>
  <c r="C159" i="15"/>
  <c r="B159" i="15"/>
  <c r="F158" i="15"/>
  <c r="E158" i="15"/>
  <c r="D158" i="15"/>
  <c r="C158" i="15"/>
  <c r="B158" i="15"/>
  <c r="F157" i="15"/>
  <c r="E157" i="15"/>
  <c r="D157" i="15"/>
  <c r="C157" i="15"/>
  <c r="B157" i="15"/>
  <c r="F27" i="15"/>
  <c r="E27" i="15"/>
  <c r="D27" i="15"/>
  <c r="C27" i="15"/>
  <c r="B27" i="15"/>
  <c r="F156" i="15"/>
  <c r="E156" i="15"/>
  <c r="D156" i="15"/>
  <c r="C156" i="15"/>
  <c r="B156" i="15"/>
  <c r="F34" i="15"/>
  <c r="E34" i="15"/>
  <c r="D34" i="15"/>
  <c r="C34" i="15"/>
  <c r="B34" i="15"/>
  <c r="F155" i="15"/>
  <c r="E155" i="15"/>
  <c r="D155" i="15"/>
  <c r="C155" i="15"/>
  <c r="B155" i="15"/>
  <c r="F154" i="15"/>
  <c r="E154" i="15"/>
  <c r="D154" i="15"/>
  <c r="C154" i="15"/>
  <c r="B154" i="15"/>
  <c r="G154" i="15" s="1"/>
  <c r="F31" i="15"/>
  <c r="E31" i="15"/>
  <c r="D31" i="15"/>
  <c r="C31" i="15"/>
  <c r="B31" i="15"/>
  <c r="F153" i="15"/>
  <c r="E153" i="15"/>
  <c r="D153" i="15"/>
  <c r="C153" i="15"/>
  <c r="B153" i="15"/>
  <c r="F152" i="15"/>
  <c r="E152" i="15"/>
  <c r="D152" i="15"/>
  <c r="C152" i="15"/>
  <c r="B152" i="15"/>
  <c r="F151" i="15"/>
  <c r="E151" i="15"/>
  <c r="D151" i="15"/>
  <c r="C151" i="15"/>
  <c r="B151" i="15"/>
  <c r="F150" i="15"/>
  <c r="E150" i="15"/>
  <c r="D150" i="15"/>
  <c r="C150" i="15"/>
  <c r="B150" i="15"/>
  <c r="F42" i="15"/>
  <c r="E42" i="15"/>
  <c r="D42" i="15"/>
  <c r="C42" i="15"/>
  <c r="B42" i="15"/>
  <c r="F16" i="15"/>
  <c r="E16" i="15"/>
  <c r="D16" i="15"/>
  <c r="C16" i="15"/>
  <c r="B16" i="15"/>
  <c r="F21" i="15"/>
  <c r="E21" i="15"/>
  <c r="D21" i="15"/>
  <c r="C21" i="15"/>
  <c r="B21" i="15"/>
  <c r="G21" i="15" s="1"/>
  <c r="F149" i="15"/>
  <c r="E149" i="15"/>
  <c r="D149" i="15"/>
  <c r="C149" i="15"/>
  <c r="B149" i="15"/>
  <c r="F148" i="15"/>
  <c r="E148" i="15"/>
  <c r="D148" i="15"/>
  <c r="C148" i="15"/>
  <c r="B148" i="15"/>
  <c r="F147" i="15"/>
  <c r="E147" i="15"/>
  <c r="D147" i="15"/>
  <c r="C147" i="15"/>
  <c r="B147" i="15"/>
  <c r="F146" i="15"/>
  <c r="E146" i="15"/>
  <c r="D146" i="15"/>
  <c r="C146" i="15"/>
  <c r="B146" i="15"/>
  <c r="F145" i="15"/>
  <c r="E145" i="15"/>
  <c r="D145" i="15"/>
  <c r="C145" i="15"/>
  <c r="B145" i="15"/>
  <c r="F144" i="15"/>
  <c r="E144" i="15"/>
  <c r="D144" i="15"/>
  <c r="C144" i="15"/>
  <c r="B144" i="15"/>
  <c r="F143" i="15"/>
  <c r="E143" i="15"/>
  <c r="D143" i="15"/>
  <c r="C143" i="15"/>
  <c r="B143" i="15"/>
  <c r="F22" i="15"/>
  <c r="E22" i="15"/>
  <c r="D22" i="15"/>
  <c r="C22" i="15"/>
  <c r="B22" i="15"/>
  <c r="G22" i="15" s="1"/>
  <c r="F142" i="15"/>
  <c r="E142" i="15"/>
  <c r="D142" i="15"/>
  <c r="C142" i="15"/>
  <c r="B142" i="15"/>
  <c r="F141" i="15"/>
  <c r="E141" i="15"/>
  <c r="D141" i="15"/>
  <c r="C141" i="15"/>
  <c r="B141" i="15"/>
  <c r="F140" i="15"/>
  <c r="E140" i="15"/>
  <c r="D140" i="15"/>
  <c r="C140" i="15"/>
  <c r="B140" i="15"/>
  <c r="F139" i="15"/>
  <c r="E139" i="15"/>
  <c r="D139" i="15"/>
  <c r="C139" i="15"/>
  <c r="B139" i="15"/>
  <c r="F138" i="15"/>
  <c r="E138" i="15"/>
  <c r="D138" i="15"/>
  <c r="C138" i="15"/>
  <c r="B138" i="15"/>
  <c r="F137" i="15"/>
  <c r="E137" i="15"/>
  <c r="D137" i="15"/>
  <c r="C137" i="15"/>
  <c r="B137" i="15"/>
  <c r="F20" i="15"/>
  <c r="E20" i="15"/>
  <c r="D20" i="15"/>
  <c r="C20" i="15"/>
  <c r="B20" i="15"/>
  <c r="F30" i="15"/>
  <c r="E30" i="15"/>
  <c r="D30" i="15"/>
  <c r="C30" i="15"/>
  <c r="B30" i="15"/>
  <c r="G30" i="15" s="1"/>
  <c r="F136" i="15"/>
  <c r="E136" i="15"/>
  <c r="D136" i="15"/>
  <c r="C136" i="15"/>
  <c r="B136" i="15"/>
  <c r="F135" i="15"/>
  <c r="E135" i="15"/>
  <c r="D135" i="15"/>
  <c r="C135" i="15"/>
  <c r="B135" i="15"/>
  <c r="F134" i="15"/>
  <c r="E134" i="15"/>
  <c r="D134" i="15"/>
  <c r="C134" i="15"/>
  <c r="B134" i="15"/>
  <c r="F133" i="15"/>
  <c r="E133" i="15"/>
  <c r="D133" i="15"/>
  <c r="C133" i="15"/>
  <c r="B133" i="15"/>
  <c r="F132" i="15"/>
  <c r="E132" i="15"/>
  <c r="D132" i="15"/>
  <c r="C132" i="15"/>
  <c r="B132" i="15"/>
  <c r="F131" i="15"/>
  <c r="E131" i="15"/>
  <c r="D131" i="15"/>
  <c r="C131" i="15"/>
  <c r="B131" i="15"/>
  <c r="F130" i="15"/>
  <c r="E130" i="15"/>
  <c r="D130" i="15"/>
  <c r="C130" i="15"/>
  <c r="B130" i="15"/>
  <c r="F129" i="15"/>
  <c r="E129" i="15"/>
  <c r="D129" i="15"/>
  <c r="C129" i="15"/>
  <c r="B129" i="15"/>
  <c r="F128" i="15"/>
  <c r="E128" i="15"/>
  <c r="D128" i="15"/>
  <c r="C128" i="15"/>
  <c r="B128" i="15"/>
  <c r="F127" i="15"/>
  <c r="E127" i="15"/>
  <c r="D127" i="15"/>
  <c r="C127" i="15"/>
  <c r="B127" i="15"/>
  <c r="F126" i="15"/>
  <c r="E126" i="15"/>
  <c r="D126" i="15"/>
  <c r="C126" i="15"/>
  <c r="B126" i="15"/>
  <c r="F125" i="15"/>
  <c r="E125" i="15"/>
  <c r="D125" i="15"/>
  <c r="C125" i="15"/>
  <c r="B125" i="15"/>
  <c r="F124" i="15"/>
  <c r="E124" i="15"/>
  <c r="D124" i="15"/>
  <c r="C124" i="15"/>
  <c r="B124" i="15"/>
  <c r="F123" i="15"/>
  <c r="E123" i="15"/>
  <c r="D123" i="15"/>
  <c r="C123" i="15"/>
  <c r="B123" i="15"/>
  <c r="F122" i="15"/>
  <c r="E122" i="15"/>
  <c r="D122" i="15"/>
  <c r="C122" i="15"/>
  <c r="B122" i="15"/>
  <c r="F28" i="15"/>
  <c r="E28" i="15"/>
  <c r="D28" i="15"/>
  <c r="C28" i="15"/>
  <c r="B28" i="15"/>
  <c r="F121" i="15"/>
  <c r="E121" i="15"/>
  <c r="D121" i="15"/>
  <c r="C121" i="15"/>
  <c r="B121" i="15"/>
  <c r="F120" i="15"/>
  <c r="E120" i="15"/>
  <c r="D120" i="15"/>
  <c r="C120" i="15"/>
  <c r="B120" i="15"/>
  <c r="F119" i="15"/>
  <c r="E119" i="15"/>
  <c r="D119" i="15"/>
  <c r="C119" i="15"/>
  <c r="B119" i="15"/>
  <c r="F39" i="15"/>
  <c r="E39" i="15"/>
  <c r="D39" i="15"/>
  <c r="C39" i="15"/>
  <c r="B39" i="15"/>
  <c r="F118" i="15"/>
  <c r="E118" i="15"/>
  <c r="D118" i="15"/>
  <c r="C118" i="15"/>
  <c r="B118" i="15"/>
  <c r="F117" i="15"/>
  <c r="E117" i="15"/>
  <c r="D117" i="15"/>
  <c r="C117" i="15"/>
  <c r="B117" i="15"/>
  <c r="F33" i="15"/>
  <c r="E33" i="15"/>
  <c r="D33" i="15"/>
  <c r="C33" i="15"/>
  <c r="B33" i="15"/>
  <c r="F116" i="15"/>
  <c r="E116" i="15"/>
  <c r="D116" i="15"/>
  <c r="C116" i="15"/>
  <c r="B116" i="15"/>
  <c r="F115" i="15"/>
  <c r="E115" i="15"/>
  <c r="D115" i="15"/>
  <c r="C115" i="15"/>
  <c r="B115" i="15"/>
  <c r="F114" i="15"/>
  <c r="E114" i="15"/>
  <c r="D114" i="15"/>
  <c r="C114" i="15"/>
  <c r="B114" i="15"/>
  <c r="F113" i="15"/>
  <c r="E113" i="15"/>
  <c r="D113" i="15"/>
  <c r="C113" i="15"/>
  <c r="B113" i="15"/>
  <c r="F112" i="15"/>
  <c r="E112" i="15"/>
  <c r="D112" i="15"/>
  <c r="C112" i="15"/>
  <c r="B112" i="15"/>
  <c r="F111" i="15"/>
  <c r="E111" i="15"/>
  <c r="D111" i="15"/>
  <c r="C111" i="15"/>
  <c r="B111" i="15"/>
  <c r="F110" i="15"/>
  <c r="E110" i="15"/>
  <c r="D110" i="15"/>
  <c r="C110" i="15"/>
  <c r="B110" i="15"/>
  <c r="F109" i="15"/>
  <c r="E109" i="15"/>
  <c r="D109" i="15"/>
  <c r="C109" i="15"/>
  <c r="B109" i="15"/>
  <c r="F8" i="15"/>
  <c r="E8" i="15"/>
  <c r="D8" i="15"/>
  <c r="C8" i="15"/>
  <c r="B8" i="15"/>
  <c r="F108" i="15"/>
  <c r="E108" i="15"/>
  <c r="D108" i="15"/>
  <c r="C108" i="15"/>
  <c r="B108" i="15"/>
  <c r="F4" i="15"/>
  <c r="E4" i="15"/>
  <c r="D4" i="15"/>
  <c r="C4" i="15"/>
  <c r="B4" i="15"/>
  <c r="F107" i="15"/>
  <c r="E107" i="15"/>
  <c r="D107" i="15"/>
  <c r="C107" i="15"/>
  <c r="B107" i="15"/>
  <c r="F106" i="15"/>
  <c r="E106" i="15"/>
  <c r="D106" i="15"/>
  <c r="C106" i="15"/>
  <c r="B106" i="15"/>
  <c r="F105" i="15"/>
  <c r="E105" i="15"/>
  <c r="D105" i="15"/>
  <c r="C105" i="15"/>
  <c r="B105" i="15"/>
  <c r="F104" i="15"/>
  <c r="E104" i="15"/>
  <c r="D104" i="15"/>
  <c r="C104" i="15"/>
  <c r="B104" i="15"/>
  <c r="F25" i="15"/>
  <c r="E25" i="15"/>
  <c r="D25" i="15"/>
  <c r="C25" i="15"/>
  <c r="B25" i="15"/>
  <c r="F103" i="15"/>
  <c r="E103" i="15"/>
  <c r="D103" i="15"/>
  <c r="C103" i="15"/>
  <c r="B103" i="15"/>
  <c r="F102" i="15"/>
  <c r="E102" i="15"/>
  <c r="D102" i="15"/>
  <c r="C102" i="15"/>
  <c r="B102" i="15"/>
  <c r="F101" i="15"/>
  <c r="E101" i="15"/>
  <c r="D101" i="15"/>
  <c r="C101" i="15"/>
  <c r="B101" i="15"/>
  <c r="F100" i="15"/>
  <c r="E100" i="15"/>
  <c r="D100" i="15"/>
  <c r="C100" i="15"/>
  <c r="B100" i="15"/>
  <c r="F99" i="15"/>
  <c r="E99" i="15"/>
  <c r="D99" i="15"/>
  <c r="C99" i="15"/>
  <c r="B99" i="15"/>
  <c r="F98" i="15"/>
  <c r="E98" i="15"/>
  <c r="D98" i="15"/>
  <c r="C98" i="15"/>
  <c r="B98" i="15"/>
  <c r="F23" i="15"/>
  <c r="E23" i="15"/>
  <c r="D23" i="15"/>
  <c r="C23" i="15"/>
  <c r="B23" i="15"/>
  <c r="F97" i="15"/>
  <c r="E97" i="15"/>
  <c r="D97" i="15"/>
  <c r="C97" i="15"/>
  <c r="B97" i="15"/>
  <c r="F96" i="15"/>
  <c r="E96" i="15"/>
  <c r="D96" i="15"/>
  <c r="C96" i="15"/>
  <c r="B96" i="15"/>
  <c r="F95" i="15"/>
  <c r="E95" i="15"/>
  <c r="D95" i="15"/>
  <c r="C95" i="15"/>
  <c r="B95" i="15"/>
  <c r="F94" i="15"/>
  <c r="E94" i="15"/>
  <c r="D94" i="15"/>
  <c r="C94" i="15"/>
  <c r="B94" i="15"/>
  <c r="F93" i="15"/>
  <c r="E93" i="15"/>
  <c r="D93" i="15"/>
  <c r="C93" i="15"/>
  <c r="B93" i="15"/>
  <c r="F92" i="15"/>
  <c r="E92" i="15"/>
  <c r="D92" i="15"/>
  <c r="C92" i="15"/>
  <c r="B92" i="15"/>
  <c r="F91" i="15"/>
  <c r="E91" i="15"/>
  <c r="D91" i="15"/>
  <c r="C91" i="15"/>
  <c r="B91" i="15"/>
  <c r="F90" i="15"/>
  <c r="E90" i="15"/>
  <c r="D90" i="15"/>
  <c r="C90" i="15"/>
  <c r="B90" i="15"/>
  <c r="F89" i="15"/>
  <c r="E89" i="15"/>
  <c r="D89" i="15"/>
  <c r="C89" i="15"/>
  <c r="B89" i="15"/>
  <c r="F88" i="15"/>
  <c r="E88" i="15"/>
  <c r="D88" i="15"/>
  <c r="C88" i="15"/>
  <c r="B88" i="15"/>
  <c r="F5" i="15"/>
  <c r="E5" i="15"/>
  <c r="D5" i="15"/>
  <c r="C5" i="15"/>
  <c r="B5" i="15"/>
  <c r="F15" i="15"/>
  <c r="E15" i="15"/>
  <c r="D15" i="15"/>
  <c r="C15" i="15"/>
  <c r="B15" i="15"/>
  <c r="F87" i="15"/>
  <c r="E87" i="15"/>
  <c r="D87" i="15"/>
  <c r="C87" i="15"/>
  <c r="B87" i="15"/>
  <c r="F35" i="15"/>
  <c r="E35" i="15"/>
  <c r="D35" i="15"/>
  <c r="C35" i="15"/>
  <c r="B35" i="15"/>
  <c r="F86" i="15"/>
  <c r="E86" i="15"/>
  <c r="D86" i="15"/>
  <c r="C86" i="15"/>
  <c r="B86" i="15"/>
  <c r="F85" i="15"/>
  <c r="E85" i="15"/>
  <c r="D85" i="15"/>
  <c r="C85" i="15"/>
  <c r="B85" i="15"/>
  <c r="F84" i="15"/>
  <c r="E84" i="15"/>
  <c r="D84" i="15"/>
  <c r="C84" i="15"/>
  <c r="B84" i="15"/>
  <c r="F83" i="15"/>
  <c r="E83" i="15"/>
  <c r="D83" i="15"/>
  <c r="C83" i="15"/>
  <c r="B83" i="15"/>
  <c r="F43" i="15"/>
  <c r="E43" i="15"/>
  <c r="D43" i="15"/>
  <c r="C43" i="15"/>
  <c r="B43" i="15"/>
  <c r="F82" i="15"/>
  <c r="E82" i="15"/>
  <c r="D82" i="15"/>
  <c r="C82" i="15"/>
  <c r="B82" i="15"/>
  <c r="F81" i="15"/>
  <c r="E81" i="15"/>
  <c r="D81" i="15"/>
  <c r="C81" i="15"/>
  <c r="B81" i="15"/>
  <c r="F80" i="15"/>
  <c r="E80" i="15"/>
  <c r="D80" i="15"/>
  <c r="C80" i="15"/>
  <c r="B80" i="15"/>
  <c r="F79" i="15"/>
  <c r="E79" i="15"/>
  <c r="D79" i="15"/>
  <c r="C79" i="15"/>
  <c r="B79" i="15"/>
  <c r="F78" i="15"/>
  <c r="E78" i="15"/>
  <c r="D78" i="15"/>
  <c r="C78" i="15"/>
  <c r="B78" i="15"/>
  <c r="F13" i="15"/>
  <c r="E13" i="15"/>
  <c r="D13" i="15"/>
  <c r="C13" i="15"/>
  <c r="B13" i="15"/>
  <c r="F19" i="15"/>
  <c r="E19" i="15"/>
  <c r="D19" i="15"/>
  <c r="C19" i="15"/>
  <c r="B19" i="15"/>
  <c r="G19" i="15" s="1"/>
  <c r="F11" i="15"/>
  <c r="E11" i="15"/>
  <c r="D11" i="15"/>
  <c r="C11" i="15"/>
  <c r="B11" i="15"/>
  <c r="F77" i="15"/>
  <c r="E77" i="15"/>
  <c r="D77" i="15"/>
  <c r="C77" i="15"/>
  <c r="B77" i="15"/>
  <c r="F76" i="15"/>
  <c r="E76" i="15"/>
  <c r="D76" i="15"/>
  <c r="C76" i="15"/>
  <c r="B76" i="15"/>
  <c r="F29" i="15"/>
  <c r="E29" i="15"/>
  <c r="D29" i="15"/>
  <c r="C29" i="15"/>
  <c r="B29" i="15"/>
  <c r="F75" i="15"/>
  <c r="E75" i="15"/>
  <c r="D75" i="15"/>
  <c r="C75" i="15"/>
  <c r="B75" i="15"/>
  <c r="F9" i="15"/>
  <c r="E9" i="15"/>
  <c r="D9" i="15"/>
  <c r="C9" i="15"/>
  <c r="B9" i="15"/>
  <c r="F37" i="15"/>
  <c r="E37" i="15"/>
  <c r="D37" i="15"/>
  <c r="C37" i="15"/>
  <c r="B37" i="15"/>
  <c r="F74" i="15"/>
  <c r="E74" i="15"/>
  <c r="D74" i="15"/>
  <c r="C74" i="15"/>
  <c r="B74" i="15"/>
  <c r="F73" i="15"/>
  <c r="E73" i="15"/>
  <c r="D73" i="15"/>
  <c r="C73" i="15"/>
  <c r="B73" i="15"/>
  <c r="F72" i="15"/>
  <c r="E72" i="15"/>
  <c r="D72" i="15"/>
  <c r="C72" i="15"/>
  <c r="B72" i="15"/>
  <c r="F71" i="15"/>
  <c r="E71" i="15"/>
  <c r="D71" i="15"/>
  <c r="C71" i="15"/>
  <c r="B71" i="15"/>
  <c r="F70" i="15"/>
  <c r="E70" i="15"/>
  <c r="D70" i="15"/>
  <c r="C70" i="15"/>
  <c r="B70" i="15"/>
  <c r="F69" i="15"/>
  <c r="E69" i="15"/>
  <c r="D69" i="15"/>
  <c r="C69" i="15"/>
  <c r="B69" i="15"/>
  <c r="F68" i="15"/>
  <c r="E68" i="15"/>
  <c r="D68" i="15"/>
  <c r="C68" i="15"/>
  <c r="B68" i="15"/>
  <c r="F67" i="15"/>
  <c r="E67" i="15"/>
  <c r="D67" i="15"/>
  <c r="C67" i="15"/>
  <c r="B67" i="15"/>
  <c r="F18" i="15"/>
  <c r="E18" i="15"/>
  <c r="D18" i="15"/>
  <c r="C18" i="15"/>
  <c r="B18" i="15"/>
  <c r="G18" i="15" s="1"/>
  <c r="F24" i="15"/>
  <c r="E24" i="15"/>
  <c r="D24" i="15"/>
  <c r="C24" i="15"/>
  <c r="B24" i="15"/>
  <c r="F66" i="15"/>
  <c r="E66" i="15"/>
  <c r="D66" i="15"/>
  <c r="C66" i="15"/>
  <c r="B66" i="15"/>
  <c r="F65" i="15"/>
  <c r="E65" i="15"/>
  <c r="D65" i="15"/>
  <c r="C65" i="15"/>
  <c r="B65" i="15"/>
  <c r="F64" i="15"/>
  <c r="E64" i="15"/>
  <c r="D64" i="15"/>
  <c r="C64" i="15"/>
  <c r="B64" i="15"/>
  <c r="F3" i="15"/>
  <c r="E3" i="15"/>
  <c r="D3" i="15"/>
  <c r="C3" i="15"/>
  <c r="B3" i="15"/>
  <c r="F63" i="15"/>
  <c r="E63" i="15"/>
  <c r="D63" i="15"/>
  <c r="C63" i="15"/>
  <c r="B63" i="15"/>
  <c r="F62" i="15"/>
  <c r="E62" i="15"/>
  <c r="D62" i="15"/>
  <c r="C62" i="15"/>
  <c r="B62" i="15"/>
  <c r="F61" i="15"/>
  <c r="E61" i="15"/>
  <c r="D61" i="15"/>
  <c r="C61" i="15"/>
  <c r="B61" i="15"/>
  <c r="G61" i="15" s="1"/>
  <c r="F60" i="15"/>
  <c r="E60" i="15"/>
  <c r="D60" i="15"/>
  <c r="C60" i="15"/>
  <c r="B60" i="15"/>
  <c r="F59" i="15"/>
  <c r="E59" i="15"/>
  <c r="D59" i="15"/>
  <c r="C59" i="15"/>
  <c r="B59" i="15"/>
  <c r="F58" i="15"/>
  <c r="E58" i="15"/>
  <c r="D58" i="15"/>
  <c r="C58" i="15"/>
  <c r="B58" i="15"/>
  <c r="F57" i="15"/>
  <c r="E57" i="15"/>
  <c r="D57" i="15"/>
  <c r="C57" i="15"/>
  <c r="B57" i="15"/>
  <c r="F7" i="15"/>
  <c r="E7" i="15"/>
  <c r="D7" i="15"/>
  <c r="C7" i="15"/>
  <c r="B7" i="15"/>
  <c r="F56" i="15"/>
  <c r="E56" i="15"/>
  <c r="D56" i="15"/>
  <c r="C56" i="15"/>
  <c r="B56" i="15"/>
  <c r="F55" i="15"/>
  <c r="E55" i="15"/>
  <c r="D55" i="15"/>
  <c r="C55" i="15"/>
  <c r="B55" i="15"/>
  <c r="F54" i="15"/>
  <c r="E54" i="15"/>
  <c r="D54" i="15"/>
  <c r="C54" i="15"/>
  <c r="B54" i="15"/>
  <c r="F53" i="15"/>
  <c r="E53" i="15"/>
  <c r="D53" i="15"/>
  <c r="C53" i="15"/>
  <c r="B53" i="15"/>
  <c r="F52" i="15"/>
  <c r="E52" i="15"/>
  <c r="D52" i="15"/>
  <c r="C52" i="15"/>
  <c r="B52" i="15"/>
  <c r="F51" i="15"/>
  <c r="E51" i="15"/>
  <c r="D51" i="15"/>
  <c r="C51" i="15"/>
  <c r="B51" i="15"/>
  <c r="F50" i="15"/>
  <c r="E50" i="15"/>
  <c r="D50" i="15"/>
  <c r="C50" i="15"/>
  <c r="B50" i="15"/>
  <c r="F49" i="15"/>
  <c r="E49" i="15"/>
  <c r="D49" i="15"/>
  <c r="C49" i="15"/>
  <c r="B49" i="15"/>
  <c r="F38" i="15"/>
  <c r="E38" i="15"/>
  <c r="D38" i="15"/>
  <c r="C38" i="15"/>
  <c r="B38" i="15"/>
  <c r="F41" i="15"/>
  <c r="E41" i="15"/>
  <c r="D41" i="15"/>
  <c r="C41" i="15"/>
  <c r="B41" i="15"/>
  <c r="F12" i="15"/>
  <c r="E12" i="15"/>
  <c r="D12" i="15"/>
  <c r="C12" i="15"/>
  <c r="B12" i="15"/>
  <c r="F26" i="15"/>
  <c r="E26" i="15"/>
  <c r="D26" i="15"/>
  <c r="C26" i="15"/>
  <c r="B26" i="15"/>
  <c r="F48" i="15"/>
  <c r="E48" i="15"/>
  <c r="D48" i="15"/>
  <c r="C48" i="15"/>
  <c r="B48" i="15"/>
  <c r="F14" i="15"/>
  <c r="E14" i="15"/>
  <c r="D14" i="15"/>
  <c r="C14" i="15"/>
  <c r="B14" i="15"/>
  <c r="F47" i="15"/>
  <c r="E47" i="15"/>
  <c r="D47" i="15"/>
  <c r="C47" i="15"/>
  <c r="B47" i="15"/>
  <c r="F10" i="15"/>
  <c r="E10" i="15"/>
  <c r="D10" i="15"/>
  <c r="C10" i="15"/>
  <c r="B10" i="15"/>
  <c r="F17" i="15"/>
  <c r="E17" i="15"/>
  <c r="D17" i="15"/>
  <c r="C17" i="15"/>
  <c r="B17" i="15"/>
  <c r="F46" i="15"/>
  <c r="E46" i="15"/>
  <c r="D46" i="15"/>
  <c r="C46" i="15"/>
  <c r="B46" i="15"/>
  <c r="F45" i="15"/>
  <c r="E45" i="15"/>
  <c r="D45" i="15"/>
  <c r="C45" i="15"/>
  <c r="B45" i="15"/>
  <c r="F311" i="14"/>
  <c r="E311" i="14"/>
  <c r="D311" i="14"/>
  <c r="C311" i="14"/>
  <c r="B311" i="14"/>
  <c r="F310" i="14"/>
  <c r="E310" i="14"/>
  <c r="D310" i="14"/>
  <c r="C310" i="14"/>
  <c r="B310" i="14"/>
  <c r="F309" i="14"/>
  <c r="E309" i="14"/>
  <c r="D309" i="14"/>
  <c r="C309" i="14"/>
  <c r="B309" i="14"/>
  <c r="F308" i="14"/>
  <c r="E308" i="14"/>
  <c r="D308" i="14"/>
  <c r="C308" i="14"/>
  <c r="B308" i="14"/>
  <c r="F307" i="14"/>
  <c r="E307" i="14"/>
  <c r="D307" i="14"/>
  <c r="C307" i="14"/>
  <c r="B307" i="14"/>
  <c r="F306" i="14"/>
  <c r="E306" i="14"/>
  <c r="D306" i="14"/>
  <c r="C306" i="14"/>
  <c r="B306" i="14"/>
  <c r="F305" i="14"/>
  <c r="E305" i="14"/>
  <c r="D305" i="14"/>
  <c r="C305" i="14"/>
  <c r="B305" i="14"/>
  <c r="F304" i="14"/>
  <c r="E304" i="14"/>
  <c r="D304" i="14"/>
  <c r="C304" i="14"/>
  <c r="B304" i="14"/>
  <c r="F303" i="14"/>
  <c r="E303" i="14"/>
  <c r="D303" i="14"/>
  <c r="C303" i="14"/>
  <c r="B303" i="14"/>
  <c r="F302" i="14"/>
  <c r="E302" i="14"/>
  <c r="D302" i="14"/>
  <c r="C302" i="14"/>
  <c r="B302" i="14"/>
  <c r="F301" i="14"/>
  <c r="E301" i="14"/>
  <c r="D301" i="14"/>
  <c r="C301" i="14"/>
  <c r="B301" i="14"/>
  <c r="F300" i="14"/>
  <c r="E300" i="14"/>
  <c r="D300" i="14"/>
  <c r="C300" i="14"/>
  <c r="B300" i="14"/>
  <c r="F299" i="14"/>
  <c r="E299" i="14"/>
  <c r="D299" i="14"/>
  <c r="C299" i="14"/>
  <c r="B299" i="14"/>
  <c r="F298" i="14"/>
  <c r="E298" i="14"/>
  <c r="D298" i="14"/>
  <c r="C298" i="14"/>
  <c r="B298" i="14"/>
  <c r="F297" i="14"/>
  <c r="E297" i="14"/>
  <c r="D297" i="14"/>
  <c r="C297" i="14"/>
  <c r="B297" i="14"/>
  <c r="F296" i="14"/>
  <c r="E296" i="14"/>
  <c r="D296" i="14"/>
  <c r="C296" i="14"/>
  <c r="B296" i="14"/>
  <c r="F295" i="14"/>
  <c r="E295" i="14"/>
  <c r="D295" i="14"/>
  <c r="C295" i="14"/>
  <c r="B295" i="14"/>
  <c r="F294" i="14"/>
  <c r="E294" i="14"/>
  <c r="D294" i="14"/>
  <c r="C294" i="14"/>
  <c r="B294" i="14"/>
  <c r="F293" i="14"/>
  <c r="E293" i="14"/>
  <c r="D293" i="14"/>
  <c r="C293" i="14"/>
  <c r="B293" i="14"/>
  <c r="F292" i="14"/>
  <c r="E292" i="14"/>
  <c r="D292" i="14"/>
  <c r="C292" i="14"/>
  <c r="B292" i="14"/>
  <c r="F291" i="14"/>
  <c r="E291" i="14"/>
  <c r="D291" i="14"/>
  <c r="C291" i="14"/>
  <c r="B291" i="14"/>
  <c r="F290" i="14"/>
  <c r="E290" i="14"/>
  <c r="D290" i="14"/>
  <c r="C290" i="14"/>
  <c r="B290" i="14"/>
  <c r="F289" i="14"/>
  <c r="E289" i="14"/>
  <c r="D289" i="14"/>
  <c r="C289" i="14"/>
  <c r="B289" i="14"/>
  <c r="F288" i="14"/>
  <c r="E288" i="14"/>
  <c r="D288" i="14"/>
  <c r="C288" i="14"/>
  <c r="B288" i="14"/>
  <c r="F287" i="14"/>
  <c r="E287" i="14"/>
  <c r="D287" i="14"/>
  <c r="C287" i="14"/>
  <c r="B287" i="14"/>
  <c r="F286" i="14"/>
  <c r="E286" i="14"/>
  <c r="D286" i="14"/>
  <c r="C286" i="14"/>
  <c r="B286" i="14"/>
  <c r="F285" i="14"/>
  <c r="E285" i="14"/>
  <c r="D285" i="14"/>
  <c r="C285" i="14"/>
  <c r="B285" i="14"/>
  <c r="F284" i="14"/>
  <c r="E284" i="14"/>
  <c r="D284" i="14"/>
  <c r="C284" i="14"/>
  <c r="B284" i="14"/>
  <c r="F283" i="14"/>
  <c r="E283" i="14"/>
  <c r="D283" i="14"/>
  <c r="C283" i="14"/>
  <c r="B283" i="14"/>
  <c r="F282" i="14"/>
  <c r="E282" i="14"/>
  <c r="D282" i="14"/>
  <c r="C282" i="14"/>
  <c r="B282" i="14"/>
  <c r="F281" i="14"/>
  <c r="E281" i="14"/>
  <c r="D281" i="14"/>
  <c r="C281" i="14"/>
  <c r="B281" i="14"/>
  <c r="F280" i="14"/>
  <c r="E280" i="14"/>
  <c r="D280" i="14"/>
  <c r="C280" i="14"/>
  <c r="B280" i="14"/>
  <c r="F279" i="14"/>
  <c r="E279" i="14"/>
  <c r="D279" i="14"/>
  <c r="C279" i="14"/>
  <c r="B279" i="14"/>
  <c r="F278" i="14"/>
  <c r="E278" i="14"/>
  <c r="D278" i="14"/>
  <c r="C278" i="14"/>
  <c r="B278" i="14"/>
  <c r="F277" i="14"/>
  <c r="E277" i="14"/>
  <c r="D277" i="14"/>
  <c r="C277" i="14"/>
  <c r="B277" i="14"/>
  <c r="F276" i="14"/>
  <c r="E276" i="14"/>
  <c r="D276" i="14"/>
  <c r="C276" i="14"/>
  <c r="B276" i="14"/>
  <c r="F275" i="14"/>
  <c r="E275" i="14"/>
  <c r="D275" i="14"/>
  <c r="C275" i="14"/>
  <c r="B275" i="14"/>
  <c r="F274" i="14"/>
  <c r="E274" i="14"/>
  <c r="D274" i="14"/>
  <c r="C274" i="14"/>
  <c r="B274" i="14"/>
  <c r="F273" i="14"/>
  <c r="E273" i="14"/>
  <c r="D273" i="14"/>
  <c r="C273" i="14"/>
  <c r="B273" i="14"/>
  <c r="F272" i="14"/>
  <c r="E272" i="14"/>
  <c r="D272" i="14"/>
  <c r="C272" i="14"/>
  <c r="B272" i="14"/>
  <c r="F271" i="14"/>
  <c r="E271" i="14"/>
  <c r="D271" i="14"/>
  <c r="C271" i="14"/>
  <c r="B271" i="14"/>
  <c r="F270" i="14"/>
  <c r="E270" i="14"/>
  <c r="D270" i="14"/>
  <c r="C270" i="14"/>
  <c r="B270" i="14"/>
  <c r="F269" i="14"/>
  <c r="E269" i="14"/>
  <c r="D269" i="14"/>
  <c r="C269" i="14"/>
  <c r="B269" i="14"/>
  <c r="F268" i="14"/>
  <c r="E268" i="14"/>
  <c r="D268" i="14"/>
  <c r="C268" i="14"/>
  <c r="B268" i="14"/>
  <c r="F267" i="14"/>
  <c r="E267" i="14"/>
  <c r="D267" i="14"/>
  <c r="C267" i="14"/>
  <c r="B267" i="14"/>
  <c r="F266" i="14"/>
  <c r="E266" i="14"/>
  <c r="D266" i="14"/>
  <c r="C266" i="14"/>
  <c r="B266" i="14"/>
  <c r="F265" i="14"/>
  <c r="E265" i="14"/>
  <c r="D265" i="14"/>
  <c r="C265" i="14"/>
  <c r="B265" i="14"/>
  <c r="F264" i="14"/>
  <c r="E264" i="14"/>
  <c r="D264" i="14"/>
  <c r="C264" i="14"/>
  <c r="B264" i="14"/>
  <c r="F263" i="14"/>
  <c r="E263" i="14"/>
  <c r="D263" i="14"/>
  <c r="C263" i="14"/>
  <c r="B263" i="14"/>
  <c r="F262" i="14"/>
  <c r="E262" i="14"/>
  <c r="D262" i="14"/>
  <c r="C262" i="14"/>
  <c r="B262" i="14"/>
  <c r="F261" i="14"/>
  <c r="E261" i="14"/>
  <c r="D261" i="14"/>
  <c r="C261" i="14"/>
  <c r="B261" i="14"/>
  <c r="F260" i="14"/>
  <c r="E260" i="14"/>
  <c r="D260" i="14"/>
  <c r="C260" i="14"/>
  <c r="B260" i="14"/>
  <c r="F259" i="14"/>
  <c r="E259" i="14"/>
  <c r="D259" i="14"/>
  <c r="C259" i="14"/>
  <c r="B259" i="14"/>
  <c r="F258" i="14"/>
  <c r="E258" i="14"/>
  <c r="D258" i="14"/>
  <c r="C258" i="14"/>
  <c r="B258" i="14"/>
  <c r="F257" i="14"/>
  <c r="E257" i="14"/>
  <c r="D257" i="14"/>
  <c r="C257" i="14"/>
  <c r="B257" i="14"/>
  <c r="F256" i="14"/>
  <c r="E256" i="14"/>
  <c r="D256" i="14"/>
  <c r="C256" i="14"/>
  <c r="B256" i="14"/>
  <c r="F255" i="14"/>
  <c r="E255" i="14"/>
  <c r="D255" i="14"/>
  <c r="C255" i="14"/>
  <c r="B255" i="14"/>
  <c r="F254" i="14"/>
  <c r="E254" i="14"/>
  <c r="D254" i="14"/>
  <c r="C254" i="14"/>
  <c r="B254" i="14"/>
  <c r="F253" i="14"/>
  <c r="E253" i="14"/>
  <c r="D253" i="14"/>
  <c r="C253" i="14"/>
  <c r="B253" i="14"/>
  <c r="F252" i="14"/>
  <c r="E252" i="14"/>
  <c r="D252" i="14"/>
  <c r="C252" i="14"/>
  <c r="B252" i="14"/>
  <c r="F251" i="14"/>
  <c r="E251" i="14"/>
  <c r="D251" i="14"/>
  <c r="C251" i="14"/>
  <c r="B251" i="14"/>
  <c r="F250" i="14"/>
  <c r="E250" i="14"/>
  <c r="D250" i="14"/>
  <c r="C250" i="14"/>
  <c r="B250" i="14"/>
  <c r="F249" i="14"/>
  <c r="E249" i="14"/>
  <c r="D249" i="14"/>
  <c r="C249" i="14"/>
  <c r="B249" i="14"/>
  <c r="F248" i="14"/>
  <c r="E248" i="14"/>
  <c r="D248" i="14"/>
  <c r="C248" i="14"/>
  <c r="B248" i="14"/>
  <c r="F247" i="14"/>
  <c r="E247" i="14"/>
  <c r="D247" i="14"/>
  <c r="C247" i="14"/>
  <c r="B247" i="14"/>
  <c r="F246" i="14"/>
  <c r="E246" i="14"/>
  <c r="D246" i="14"/>
  <c r="C246" i="14"/>
  <c r="B246" i="14"/>
  <c r="F245" i="14"/>
  <c r="E245" i="14"/>
  <c r="D245" i="14"/>
  <c r="C245" i="14"/>
  <c r="B245" i="14"/>
  <c r="F244" i="14"/>
  <c r="E244" i="14"/>
  <c r="D244" i="14"/>
  <c r="C244" i="14"/>
  <c r="B244" i="14"/>
  <c r="F243" i="14"/>
  <c r="E243" i="14"/>
  <c r="D243" i="14"/>
  <c r="C243" i="14"/>
  <c r="B243" i="14"/>
  <c r="F242" i="14"/>
  <c r="E242" i="14"/>
  <c r="D242" i="14"/>
  <c r="C242" i="14"/>
  <c r="B242" i="14"/>
  <c r="F241" i="14"/>
  <c r="E241" i="14"/>
  <c r="D241" i="14"/>
  <c r="C241" i="14"/>
  <c r="B241" i="14"/>
  <c r="F240" i="14"/>
  <c r="E240" i="14"/>
  <c r="D240" i="14"/>
  <c r="C240" i="14"/>
  <c r="B240" i="14"/>
  <c r="F239" i="14"/>
  <c r="E239" i="14"/>
  <c r="D239" i="14"/>
  <c r="C239" i="14"/>
  <c r="B239" i="14"/>
  <c r="F238" i="14"/>
  <c r="E238" i="14"/>
  <c r="D238" i="14"/>
  <c r="C238" i="14"/>
  <c r="B238" i="14"/>
  <c r="F237" i="14"/>
  <c r="E237" i="14"/>
  <c r="D237" i="14"/>
  <c r="C237" i="14"/>
  <c r="B237" i="14"/>
  <c r="F236" i="14"/>
  <c r="E236" i="14"/>
  <c r="D236" i="14"/>
  <c r="C236" i="14"/>
  <c r="B236" i="14"/>
  <c r="F235" i="14"/>
  <c r="E235" i="14"/>
  <c r="D235" i="14"/>
  <c r="C235" i="14"/>
  <c r="B235" i="14"/>
  <c r="F234" i="14"/>
  <c r="E234" i="14"/>
  <c r="D234" i="14"/>
  <c r="C234" i="14"/>
  <c r="B234" i="14"/>
  <c r="F233" i="14"/>
  <c r="E233" i="14"/>
  <c r="D233" i="14"/>
  <c r="C233" i="14"/>
  <c r="B233" i="14"/>
  <c r="F232" i="14"/>
  <c r="E232" i="14"/>
  <c r="D232" i="14"/>
  <c r="C232" i="14"/>
  <c r="B232" i="14"/>
  <c r="F231" i="14"/>
  <c r="E231" i="14"/>
  <c r="D231" i="14"/>
  <c r="C231" i="14"/>
  <c r="B231" i="14"/>
  <c r="F230" i="14"/>
  <c r="E230" i="14"/>
  <c r="D230" i="14"/>
  <c r="C230" i="14"/>
  <c r="B230" i="14"/>
  <c r="F229" i="14"/>
  <c r="E229" i="14"/>
  <c r="D229" i="14"/>
  <c r="C229" i="14"/>
  <c r="B229" i="14"/>
  <c r="F228" i="14"/>
  <c r="E228" i="14"/>
  <c r="D228" i="14"/>
  <c r="C228" i="14"/>
  <c r="B228" i="14"/>
  <c r="F227" i="14"/>
  <c r="E227" i="14"/>
  <c r="D227" i="14"/>
  <c r="C227" i="14"/>
  <c r="B227" i="14"/>
  <c r="F226" i="14"/>
  <c r="E226" i="14"/>
  <c r="D226" i="14"/>
  <c r="C226" i="14"/>
  <c r="B226" i="14"/>
  <c r="F225" i="14"/>
  <c r="E225" i="14"/>
  <c r="D225" i="14"/>
  <c r="C225" i="14"/>
  <c r="B225" i="14"/>
  <c r="F224" i="14"/>
  <c r="E224" i="14"/>
  <c r="D224" i="14"/>
  <c r="C224" i="14"/>
  <c r="B224" i="14"/>
  <c r="F223" i="14"/>
  <c r="E223" i="14"/>
  <c r="D223" i="14"/>
  <c r="C223" i="14"/>
  <c r="B223" i="14"/>
  <c r="F222" i="14"/>
  <c r="E222" i="14"/>
  <c r="D222" i="14"/>
  <c r="C222" i="14"/>
  <c r="B222" i="14"/>
  <c r="F221" i="14"/>
  <c r="E221" i="14"/>
  <c r="D221" i="14"/>
  <c r="C221" i="14"/>
  <c r="B221" i="14"/>
  <c r="F220" i="14"/>
  <c r="E220" i="14"/>
  <c r="D220" i="14"/>
  <c r="C220" i="14"/>
  <c r="B220" i="14"/>
  <c r="F219" i="14"/>
  <c r="E219" i="14"/>
  <c r="D219" i="14"/>
  <c r="C219" i="14"/>
  <c r="B219" i="14"/>
  <c r="F218" i="14"/>
  <c r="E218" i="14"/>
  <c r="D218" i="14"/>
  <c r="C218" i="14"/>
  <c r="B218" i="14"/>
  <c r="F217" i="14"/>
  <c r="E217" i="14"/>
  <c r="D217" i="14"/>
  <c r="C217" i="14"/>
  <c r="B217" i="14"/>
  <c r="F216" i="14"/>
  <c r="E216" i="14"/>
  <c r="D216" i="14"/>
  <c r="C216" i="14"/>
  <c r="B216" i="14"/>
  <c r="F215" i="14"/>
  <c r="E215" i="14"/>
  <c r="D215" i="14"/>
  <c r="C215" i="14"/>
  <c r="B215" i="14"/>
  <c r="F214" i="14"/>
  <c r="E214" i="14"/>
  <c r="D214" i="14"/>
  <c r="C214" i="14"/>
  <c r="B214" i="14"/>
  <c r="F213" i="14"/>
  <c r="E213" i="14"/>
  <c r="D213" i="14"/>
  <c r="C213" i="14"/>
  <c r="B213" i="14"/>
  <c r="F212" i="14"/>
  <c r="E212" i="14"/>
  <c r="D212" i="14"/>
  <c r="C212" i="14"/>
  <c r="B212" i="14"/>
  <c r="F211" i="14"/>
  <c r="E211" i="14"/>
  <c r="D211" i="14"/>
  <c r="C211" i="14"/>
  <c r="B211" i="14"/>
  <c r="F210" i="14"/>
  <c r="E210" i="14"/>
  <c r="D210" i="14"/>
  <c r="C210" i="14"/>
  <c r="B210" i="14"/>
  <c r="F209" i="14"/>
  <c r="E209" i="14"/>
  <c r="D209" i="14"/>
  <c r="C209" i="14"/>
  <c r="B209" i="14"/>
  <c r="F208" i="14"/>
  <c r="E208" i="14"/>
  <c r="D208" i="14"/>
  <c r="C208" i="14"/>
  <c r="B208" i="14"/>
  <c r="F207" i="14"/>
  <c r="E207" i="14"/>
  <c r="D207" i="14"/>
  <c r="C207" i="14"/>
  <c r="B207" i="14"/>
  <c r="F206" i="14"/>
  <c r="E206" i="14"/>
  <c r="D206" i="14"/>
  <c r="C206" i="14"/>
  <c r="B206" i="14"/>
  <c r="F205" i="14"/>
  <c r="E205" i="14"/>
  <c r="D205" i="14"/>
  <c r="C205" i="14"/>
  <c r="B205" i="14"/>
  <c r="F204" i="14"/>
  <c r="E204" i="14"/>
  <c r="D204" i="14"/>
  <c r="C204" i="14"/>
  <c r="B204" i="14"/>
  <c r="F203" i="14"/>
  <c r="E203" i="14"/>
  <c r="D203" i="14"/>
  <c r="C203" i="14"/>
  <c r="B203" i="14"/>
  <c r="F202" i="14"/>
  <c r="E202" i="14"/>
  <c r="D202" i="14"/>
  <c r="C202" i="14"/>
  <c r="B202" i="14"/>
  <c r="F201" i="14"/>
  <c r="E201" i="14"/>
  <c r="D201" i="14"/>
  <c r="C201" i="14"/>
  <c r="B201" i="14"/>
  <c r="F200" i="14"/>
  <c r="E200" i="14"/>
  <c r="D200" i="14"/>
  <c r="C200" i="14"/>
  <c r="B200" i="14"/>
  <c r="F199" i="14"/>
  <c r="E199" i="14"/>
  <c r="D199" i="14"/>
  <c r="C199" i="14"/>
  <c r="B199" i="14"/>
  <c r="F198" i="14"/>
  <c r="E198" i="14"/>
  <c r="D198" i="14"/>
  <c r="C198" i="14"/>
  <c r="B198" i="14"/>
  <c r="F197" i="14"/>
  <c r="E197" i="14"/>
  <c r="D197" i="14"/>
  <c r="C197" i="14"/>
  <c r="B197" i="14"/>
  <c r="F196" i="14"/>
  <c r="E196" i="14"/>
  <c r="D196" i="14"/>
  <c r="C196" i="14"/>
  <c r="B196" i="14"/>
  <c r="F195" i="14"/>
  <c r="E195" i="14"/>
  <c r="D195" i="14"/>
  <c r="C195" i="14"/>
  <c r="B195" i="14"/>
  <c r="F194" i="14"/>
  <c r="E194" i="14"/>
  <c r="D194" i="14"/>
  <c r="C194" i="14"/>
  <c r="B194" i="14"/>
  <c r="F193" i="14"/>
  <c r="E193" i="14"/>
  <c r="D193" i="14"/>
  <c r="C193" i="14"/>
  <c r="B193" i="14"/>
  <c r="F192" i="14"/>
  <c r="E192" i="14"/>
  <c r="D192" i="14"/>
  <c r="C192" i="14"/>
  <c r="B192" i="14"/>
  <c r="F191" i="14"/>
  <c r="E191" i="14"/>
  <c r="D191" i="14"/>
  <c r="C191" i="14"/>
  <c r="B191" i="14"/>
  <c r="F190" i="14"/>
  <c r="E190" i="14"/>
  <c r="D190" i="14"/>
  <c r="C190" i="14"/>
  <c r="B190" i="14"/>
  <c r="F189" i="14"/>
  <c r="E189" i="14"/>
  <c r="D189" i="14"/>
  <c r="C189" i="14"/>
  <c r="B189" i="14"/>
  <c r="F188" i="14"/>
  <c r="E188" i="14"/>
  <c r="D188" i="14"/>
  <c r="C188" i="14"/>
  <c r="B188" i="14"/>
  <c r="F187" i="14"/>
  <c r="E187" i="14"/>
  <c r="D187" i="14"/>
  <c r="C187" i="14"/>
  <c r="B187" i="14"/>
  <c r="F186" i="14"/>
  <c r="E186" i="14"/>
  <c r="D186" i="14"/>
  <c r="C186" i="14"/>
  <c r="B186" i="14"/>
  <c r="F185" i="14"/>
  <c r="E185" i="14"/>
  <c r="D185" i="14"/>
  <c r="C185" i="14"/>
  <c r="B185" i="14"/>
  <c r="F184" i="14"/>
  <c r="E184" i="14"/>
  <c r="D184" i="14"/>
  <c r="C184" i="14"/>
  <c r="B184" i="14"/>
  <c r="F183" i="14"/>
  <c r="E183" i="14"/>
  <c r="D183" i="14"/>
  <c r="C183" i="14"/>
  <c r="B183" i="14"/>
  <c r="F182" i="14"/>
  <c r="E182" i="14"/>
  <c r="D182" i="14"/>
  <c r="C182" i="14"/>
  <c r="B182" i="14"/>
  <c r="F181" i="14"/>
  <c r="E181" i="14"/>
  <c r="D181" i="14"/>
  <c r="C181" i="14"/>
  <c r="B181" i="14"/>
  <c r="F180" i="14"/>
  <c r="E180" i="14"/>
  <c r="D180" i="14"/>
  <c r="C180" i="14"/>
  <c r="B180" i="14"/>
  <c r="F179" i="14"/>
  <c r="E179" i="14"/>
  <c r="D179" i="14"/>
  <c r="C179" i="14"/>
  <c r="B179" i="14"/>
  <c r="F178" i="14"/>
  <c r="E178" i="14"/>
  <c r="D178" i="14"/>
  <c r="C178" i="14"/>
  <c r="B178" i="14"/>
  <c r="F177" i="14"/>
  <c r="E177" i="14"/>
  <c r="D177" i="14"/>
  <c r="C177" i="14"/>
  <c r="B177" i="14"/>
  <c r="F176" i="14"/>
  <c r="E176" i="14"/>
  <c r="D176" i="14"/>
  <c r="C176" i="14"/>
  <c r="B176" i="14"/>
  <c r="F175" i="14"/>
  <c r="E175" i="14"/>
  <c r="D175" i="14"/>
  <c r="C175" i="14"/>
  <c r="B175" i="14"/>
  <c r="F174" i="14"/>
  <c r="E174" i="14"/>
  <c r="D174" i="14"/>
  <c r="C174" i="14"/>
  <c r="B174" i="14"/>
  <c r="F173" i="14"/>
  <c r="E173" i="14"/>
  <c r="D173" i="14"/>
  <c r="C173" i="14"/>
  <c r="B173" i="14"/>
  <c r="F172" i="14"/>
  <c r="E172" i="14"/>
  <c r="D172" i="14"/>
  <c r="C172" i="14"/>
  <c r="B172" i="14"/>
  <c r="F171" i="14"/>
  <c r="E171" i="14"/>
  <c r="D171" i="14"/>
  <c r="C171" i="14"/>
  <c r="B171" i="14"/>
  <c r="F170" i="14"/>
  <c r="E170" i="14"/>
  <c r="D170" i="14"/>
  <c r="C170" i="14"/>
  <c r="B170" i="14"/>
  <c r="F169" i="14"/>
  <c r="E169" i="14"/>
  <c r="D169" i="14"/>
  <c r="C169" i="14"/>
  <c r="B169" i="14"/>
  <c r="F168" i="14"/>
  <c r="E168" i="14"/>
  <c r="D168" i="14"/>
  <c r="C168" i="14"/>
  <c r="B168" i="14"/>
  <c r="F167" i="14"/>
  <c r="E167" i="14"/>
  <c r="D167" i="14"/>
  <c r="C167" i="14"/>
  <c r="B167" i="14"/>
  <c r="F166" i="14"/>
  <c r="E166" i="14"/>
  <c r="D166" i="14"/>
  <c r="C166" i="14"/>
  <c r="B166" i="14"/>
  <c r="F165" i="14"/>
  <c r="E165" i="14"/>
  <c r="D165" i="14"/>
  <c r="C165" i="14"/>
  <c r="B165" i="14"/>
  <c r="F164" i="14"/>
  <c r="E164" i="14"/>
  <c r="D164" i="14"/>
  <c r="C164" i="14"/>
  <c r="B164" i="14"/>
  <c r="F163" i="14"/>
  <c r="E163" i="14"/>
  <c r="D163" i="14"/>
  <c r="C163" i="14"/>
  <c r="B163" i="14"/>
  <c r="F162" i="14"/>
  <c r="E162" i="14"/>
  <c r="D162" i="14"/>
  <c r="C162" i="14"/>
  <c r="B162" i="14"/>
  <c r="F161" i="14"/>
  <c r="E161" i="14"/>
  <c r="D161" i="14"/>
  <c r="C161" i="14"/>
  <c r="B161" i="14"/>
  <c r="F160" i="14"/>
  <c r="E160" i="14"/>
  <c r="D160" i="14"/>
  <c r="C160" i="14"/>
  <c r="B160" i="14"/>
  <c r="F159" i="14"/>
  <c r="E159" i="14"/>
  <c r="D159" i="14"/>
  <c r="C159" i="14"/>
  <c r="B159" i="14"/>
  <c r="F158" i="14"/>
  <c r="E158" i="14"/>
  <c r="D158" i="14"/>
  <c r="C158" i="14"/>
  <c r="B158" i="14"/>
  <c r="F157" i="14"/>
  <c r="E157" i="14"/>
  <c r="D157" i="14"/>
  <c r="C157" i="14"/>
  <c r="B157" i="14"/>
  <c r="F156" i="14"/>
  <c r="E156" i="14"/>
  <c r="D156" i="14"/>
  <c r="C156" i="14"/>
  <c r="B156" i="14"/>
  <c r="F155" i="14"/>
  <c r="E155" i="14"/>
  <c r="D155" i="14"/>
  <c r="C155" i="14"/>
  <c r="B155" i="14"/>
  <c r="F154" i="14"/>
  <c r="E154" i="14"/>
  <c r="D154" i="14"/>
  <c r="C154" i="14"/>
  <c r="B154" i="14"/>
  <c r="F153" i="14"/>
  <c r="E153" i="14"/>
  <c r="D153" i="14"/>
  <c r="C153" i="14"/>
  <c r="B153" i="14"/>
  <c r="F152" i="14"/>
  <c r="E152" i="14"/>
  <c r="D152" i="14"/>
  <c r="C152" i="14"/>
  <c r="B152" i="14"/>
  <c r="F151" i="14"/>
  <c r="E151" i="14"/>
  <c r="D151" i="14"/>
  <c r="C151" i="14"/>
  <c r="B151" i="14"/>
  <c r="F150" i="14"/>
  <c r="E150" i="14"/>
  <c r="D150" i="14"/>
  <c r="C150" i="14"/>
  <c r="B150" i="14"/>
  <c r="F149" i="14"/>
  <c r="E149" i="14"/>
  <c r="D149" i="14"/>
  <c r="C149" i="14"/>
  <c r="B149" i="14"/>
  <c r="F148" i="14"/>
  <c r="E148" i="14"/>
  <c r="D148" i="14"/>
  <c r="C148" i="14"/>
  <c r="B148" i="14"/>
  <c r="F147" i="14"/>
  <c r="E147" i="14"/>
  <c r="D147" i="14"/>
  <c r="C147" i="14"/>
  <c r="B147" i="14"/>
  <c r="F146" i="14"/>
  <c r="E146" i="14"/>
  <c r="D146" i="14"/>
  <c r="C146" i="14"/>
  <c r="B146" i="14"/>
  <c r="F145" i="14"/>
  <c r="E145" i="14"/>
  <c r="D145" i="14"/>
  <c r="C145" i="14"/>
  <c r="B145" i="14"/>
  <c r="F144" i="14"/>
  <c r="E144" i="14"/>
  <c r="D144" i="14"/>
  <c r="C144" i="14"/>
  <c r="B144" i="14"/>
  <c r="F143" i="14"/>
  <c r="E143" i="14"/>
  <c r="D143" i="14"/>
  <c r="C143" i="14"/>
  <c r="B143" i="14"/>
  <c r="F142" i="14"/>
  <c r="E142" i="14"/>
  <c r="D142" i="14"/>
  <c r="C142" i="14"/>
  <c r="B142" i="14"/>
  <c r="F141" i="14"/>
  <c r="E141" i="14"/>
  <c r="D141" i="14"/>
  <c r="C141" i="14"/>
  <c r="B141" i="14"/>
  <c r="F140" i="14"/>
  <c r="E140" i="14"/>
  <c r="D140" i="14"/>
  <c r="C140" i="14"/>
  <c r="B140" i="14"/>
  <c r="F139" i="14"/>
  <c r="E139" i="14"/>
  <c r="D139" i="14"/>
  <c r="C139" i="14"/>
  <c r="B139" i="14"/>
  <c r="F138" i="14"/>
  <c r="E138" i="14"/>
  <c r="D138" i="14"/>
  <c r="C138" i="14"/>
  <c r="B138" i="14"/>
  <c r="F137" i="14"/>
  <c r="E137" i="14"/>
  <c r="D137" i="14"/>
  <c r="C137" i="14"/>
  <c r="B137" i="14"/>
  <c r="F136" i="14"/>
  <c r="E136" i="14"/>
  <c r="D136" i="14"/>
  <c r="C136" i="14"/>
  <c r="B136" i="14"/>
  <c r="F135" i="14"/>
  <c r="E135" i="14"/>
  <c r="D135" i="14"/>
  <c r="C135" i="14"/>
  <c r="B135" i="14"/>
  <c r="F134" i="14"/>
  <c r="E134" i="14"/>
  <c r="D134" i="14"/>
  <c r="C134" i="14"/>
  <c r="B134" i="14"/>
  <c r="F133" i="14"/>
  <c r="E133" i="14"/>
  <c r="D133" i="14"/>
  <c r="C133" i="14"/>
  <c r="B133" i="14"/>
  <c r="F132" i="14"/>
  <c r="E132" i="14"/>
  <c r="D132" i="14"/>
  <c r="C132" i="14"/>
  <c r="B132" i="14"/>
  <c r="F131" i="14"/>
  <c r="E131" i="14"/>
  <c r="D131" i="14"/>
  <c r="C131" i="14"/>
  <c r="B131" i="14"/>
  <c r="F130" i="14"/>
  <c r="E130" i="14"/>
  <c r="D130" i="14"/>
  <c r="C130" i="14"/>
  <c r="B130" i="14"/>
  <c r="F129" i="14"/>
  <c r="E129" i="14"/>
  <c r="D129" i="14"/>
  <c r="C129" i="14"/>
  <c r="B129" i="14"/>
  <c r="F128" i="14"/>
  <c r="E128" i="14"/>
  <c r="D128" i="14"/>
  <c r="C128" i="14"/>
  <c r="B128" i="14"/>
  <c r="F127" i="14"/>
  <c r="E127" i="14"/>
  <c r="D127" i="14"/>
  <c r="C127" i="14"/>
  <c r="B127" i="14"/>
  <c r="F126" i="14"/>
  <c r="E126" i="14"/>
  <c r="D126" i="14"/>
  <c r="C126" i="14"/>
  <c r="B126" i="14"/>
  <c r="F125" i="14"/>
  <c r="E125" i="14"/>
  <c r="D125" i="14"/>
  <c r="C125" i="14"/>
  <c r="B125" i="14"/>
  <c r="F124" i="14"/>
  <c r="E124" i="14"/>
  <c r="D124" i="14"/>
  <c r="C124" i="14"/>
  <c r="B124" i="14"/>
  <c r="F123" i="14"/>
  <c r="E123" i="14"/>
  <c r="D123" i="14"/>
  <c r="C123" i="14"/>
  <c r="B123" i="14"/>
  <c r="F122" i="14"/>
  <c r="E122" i="14"/>
  <c r="D122" i="14"/>
  <c r="C122" i="14"/>
  <c r="B122" i="14"/>
  <c r="F121" i="14"/>
  <c r="E121" i="14"/>
  <c r="D121" i="14"/>
  <c r="C121" i="14"/>
  <c r="B121" i="14"/>
  <c r="F120" i="14"/>
  <c r="E120" i="14"/>
  <c r="D120" i="14"/>
  <c r="C120" i="14"/>
  <c r="B120" i="14"/>
  <c r="F119" i="14"/>
  <c r="E119" i="14"/>
  <c r="D119" i="14"/>
  <c r="C119" i="14"/>
  <c r="B119" i="14"/>
  <c r="F118" i="14"/>
  <c r="E118" i="14"/>
  <c r="D118" i="14"/>
  <c r="C118" i="14"/>
  <c r="B118" i="14"/>
  <c r="F117" i="14"/>
  <c r="E117" i="14"/>
  <c r="D117" i="14"/>
  <c r="C117" i="14"/>
  <c r="B117" i="14"/>
  <c r="F116" i="14"/>
  <c r="E116" i="14"/>
  <c r="D116" i="14"/>
  <c r="C116" i="14"/>
  <c r="B116" i="14"/>
  <c r="F115" i="14"/>
  <c r="E115" i="14"/>
  <c r="D115" i="14"/>
  <c r="C115" i="14"/>
  <c r="B115" i="14"/>
  <c r="F114" i="14"/>
  <c r="E114" i="14"/>
  <c r="D114" i="14"/>
  <c r="C114" i="14"/>
  <c r="B114" i="14"/>
  <c r="F113" i="14"/>
  <c r="E113" i="14"/>
  <c r="D113" i="14"/>
  <c r="C113" i="14"/>
  <c r="B113" i="14"/>
  <c r="F112" i="14"/>
  <c r="E112" i="14"/>
  <c r="D112" i="14"/>
  <c r="C112" i="14"/>
  <c r="B112" i="14"/>
  <c r="F111" i="14"/>
  <c r="E111" i="14"/>
  <c r="D111" i="14"/>
  <c r="C111" i="14"/>
  <c r="B111" i="14"/>
  <c r="F110" i="14"/>
  <c r="E110" i="14"/>
  <c r="D110" i="14"/>
  <c r="C110" i="14"/>
  <c r="B110" i="14"/>
  <c r="F109" i="14"/>
  <c r="E109" i="14"/>
  <c r="D109" i="14"/>
  <c r="C109" i="14"/>
  <c r="B109" i="14"/>
  <c r="F108" i="14"/>
  <c r="E108" i="14"/>
  <c r="D108" i="14"/>
  <c r="C108" i="14"/>
  <c r="B108" i="14"/>
  <c r="F107" i="14"/>
  <c r="E107" i="14"/>
  <c r="D107" i="14"/>
  <c r="C107" i="14"/>
  <c r="B107" i="14"/>
  <c r="F106" i="14"/>
  <c r="E106" i="14"/>
  <c r="D106" i="14"/>
  <c r="C106" i="14"/>
  <c r="B106" i="14"/>
  <c r="F105" i="14"/>
  <c r="E105" i="14"/>
  <c r="D105" i="14"/>
  <c r="C105" i="14"/>
  <c r="B105" i="14"/>
  <c r="F104" i="14"/>
  <c r="E104" i="14"/>
  <c r="D104" i="14"/>
  <c r="C104" i="14"/>
  <c r="B104" i="14"/>
  <c r="F103" i="14"/>
  <c r="E103" i="14"/>
  <c r="D103" i="14"/>
  <c r="C103" i="14"/>
  <c r="B103" i="14"/>
  <c r="F102" i="14"/>
  <c r="E102" i="14"/>
  <c r="D102" i="14"/>
  <c r="C102" i="14"/>
  <c r="B102" i="14"/>
  <c r="F101" i="14"/>
  <c r="E101" i="14"/>
  <c r="D101" i="14"/>
  <c r="C101" i="14"/>
  <c r="B101" i="14"/>
  <c r="F100" i="14"/>
  <c r="E100" i="14"/>
  <c r="D100" i="14"/>
  <c r="C100" i="14"/>
  <c r="B100" i="14"/>
  <c r="F99" i="14"/>
  <c r="E99" i="14"/>
  <c r="D99" i="14"/>
  <c r="C99" i="14"/>
  <c r="B99" i="14"/>
  <c r="F98" i="14"/>
  <c r="E98" i="14"/>
  <c r="D98" i="14"/>
  <c r="C98" i="14"/>
  <c r="B98" i="14"/>
  <c r="F97" i="14"/>
  <c r="E97" i="14"/>
  <c r="D97" i="14"/>
  <c r="C97" i="14"/>
  <c r="B97" i="14"/>
  <c r="F96" i="14"/>
  <c r="E96" i="14"/>
  <c r="D96" i="14"/>
  <c r="C96" i="14"/>
  <c r="B96" i="14"/>
  <c r="F95" i="14"/>
  <c r="E95" i="14"/>
  <c r="D95" i="14"/>
  <c r="C95" i="14"/>
  <c r="B95" i="14"/>
  <c r="F94" i="14"/>
  <c r="E94" i="14"/>
  <c r="D94" i="14"/>
  <c r="C94" i="14"/>
  <c r="B94" i="14"/>
  <c r="F93" i="14"/>
  <c r="E93" i="14"/>
  <c r="D93" i="14"/>
  <c r="C93" i="14"/>
  <c r="B93" i="14"/>
  <c r="F92" i="14"/>
  <c r="E92" i="14"/>
  <c r="D92" i="14"/>
  <c r="C92" i="14"/>
  <c r="B92" i="14"/>
  <c r="F91" i="14"/>
  <c r="E91" i="14"/>
  <c r="D91" i="14"/>
  <c r="C91" i="14"/>
  <c r="B91" i="14"/>
  <c r="F90" i="14"/>
  <c r="E90" i="14"/>
  <c r="D90" i="14"/>
  <c r="C90" i="14"/>
  <c r="B90" i="14"/>
  <c r="F89" i="14"/>
  <c r="E89" i="14"/>
  <c r="D89" i="14"/>
  <c r="C89" i="14"/>
  <c r="B89" i="14"/>
  <c r="F88" i="14"/>
  <c r="E88" i="14"/>
  <c r="D88" i="14"/>
  <c r="C88" i="14"/>
  <c r="B88" i="14"/>
  <c r="F87" i="14"/>
  <c r="E87" i="14"/>
  <c r="D87" i="14"/>
  <c r="C87" i="14"/>
  <c r="B87" i="14"/>
  <c r="F86" i="14"/>
  <c r="E86" i="14"/>
  <c r="D86" i="14"/>
  <c r="C86" i="14"/>
  <c r="B86" i="14"/>
  <c r="F85" i="14"/>
  <c r="E85" i="14"/>
  <c r="D85" i="14"/>
  <c r="C85" i="14"/>
  <c r="B85" i="14"/>
  <c r="F84" i="14"/>
  <c r="E84" i="14"/>
  <c r="D84" i="14"/>
  <c r="C84" i="14"/>
  <c r="B84" i="14"/>
  <c r="F83" i="14"/>
  <c r="E83" i="14"/>
  <c r="D83" i="14"/>
  <c r="C83" i="14"/>
  <c r="B83" i="14"/>
  <c r="F82" i="14"/>
  <c r="E82" i="14"/>
  <c r="D82" i="14"/>
  <c r="C82" i="14"/>
  <c r="B82" i="14"/>
  <c r="F81" i="14"/>
  <c r="E81" i="14"/>
  <c r="D81" i="14"/>
  <c r="C81" i="14"/>
  <c r="B81" i="14"/>
  <c r="F80" i="14"/>
  <c r="E80" i="14"/>
  <c r="D80" i="14"/>
  <c r="C80" i="14"/>
  <c r="B80" i="14"/>
  <c r="F79" i="14"/>
  <c r="E79" i="14"/>
  <c r="D79" i="14"/>
  <c r="C79" i="14"/>
  <c r="B79" i="14"/>
  <c r="F78" i="14"/>
  <c r="E78" i="14"/>
  <c r="D78" i="14"/>
  <c r="C78" i="14"/>
  <c r="B78" i="14"/>
  <c r="F77" i="14"/>
  <c r="E77" i="14"/>
  <c r="D77" i="14"/>
  <c r="C77" i="14"/>
  <c r="B77" i="14"/>
  <c r="F76" i="14"/>
  <c r="E76" i="14"/>
  <c r="D76" i="14"/>
  <c r="C76" i="14"/>
  <c r="B76" i="14"/>
  <c r="F75" i="14"/>
  <c r="E75" i="14"/>
  <c r="D75" i="14"/>
  <c r="C75" i="14"/>
  <c r="B75" i="14"/>
  <c r="F74" i="14"/>
  <c r="E74" i="14"/>
  <c r="D74" i="14"/>
  <c r="C74" i="14"/>
  <c r="B74" i="14"/>
  <c r="F73" i="14"/>
  <c r="E73" i="14"/>
  <c r="D73" i="14"/>
  <c r="C73" i="14"/>
  <c r="B73" i="14"/>
  <c r="F72" i="14"/>
  <c r="E72" i="14"/>
  <c r="D72" i="14"/>
  <c r="C72" i="14"/>
  <c r="B72" i="14"/>
  <c r="F71" i="14"/>
  <c r="E71" i="14"/>
  <c r="D71" i="14"/>
  <c r="C71" i="14"/>
  <c r="B71" i="14"/>
  <c r="F70" i="14"/>
  <c r="E70" i="14"/>
  <c r="D70" i="14"/>
  <c r="C70" i="14"/>
  <c r="B70" i="14"/>
  <c r="F69" i="14"/>
  <c r="E69" i="14"/>
  <c r="D69" i="14"/>
  <c r="C69" i="14"/>
  <c r="B69" i="14"/>
  <c r="F68" i="14"/>
  <c r="E68" i="14"/>
  <c r="D68" i="14"/>
  <c r="C68" i="14"/>
  <c r="B68" i="14"/>
  <c r="F67" i="14"/>
  <c r="E67" i="14"/>
  <c r="D67" i="14"/>
  <c r="C67" i="14"/>
  <c r="B67" i="14"/>
  <c r="F66" i="14"/>
  <c r="E66" i="14"/>
  <c r="D66" i="14"/>
  <c r="C66" i="14"/>
  <c r="B66" i="14"/>
  <c r="F65" i="14"/>
  <c r="E65" i="14"/>
  <c r="D65" i="14"/>
  <c r="C65" i="14"/>
  <c r="B65" i="14"/>
  <c r="F64" i="14"/>
  <c r="E64" i="14"/>
  <c r="D64" i="14"/>
  <c r="C64" i="14"/>
  <c r="B64" i="14"/>
  <c r="F63" i="14"/>
  <c r="E63" i="14"/>
  <c r="D63" i="14"/>
  <c r="C63" i="14"/>
  <c r="B63" i="14"/>
  <c r="F62" i="14"/>
  <c r="E62" i="14"/>
  <c r="D62" i="14"/>
  <c r="C62" i="14"/>
  <c r="B62" i="14"/>
  <c r="F61" i="14"/>
  <c r="E61" i="14"/>
  <c r="D61" i="14"/>
  <c r="C61" i="14"/>
  <c r="B61" i="14"/>
  <c r="F60" i="14"/>
  <c r="E60" i="14"/>
  <c r="D60" i="14"/>
  <c r="C60" i="14"/>
  <c r="B60" i="14"/>
  <c r="F59" i="14"/>
  <c r="E59" i="14"/>
  <c r="D59" i="14"/>
  <c r="C59" i="14"/>
  <c r="B59" i="14"/>
  <c r="F58" i="14"/>
  <c r="E58" i="14"/>
  <c r="D58" i="14"/>
  <c r="C58" i="14"/>
  <c r="B58" i="14"/>
  <c r="F57" i="14"/>
  <c r="E57" i="14"/>
  <c r="D57" i="14"/>
  <c r="C57" i="14"/>
  <c r="B57" i="14"/>
  <c r="F56" i="14"/>
  <c r="E56" i="14"/>
  <c r="D56" i="14"/>
  <c r="C56" i="14"/>
  <c r="B56" i="14"/>
  <c r="F55" i="14"/>
  <c r="E55" i="14"/>
  <c r="D55" i="14"/>
  <c r="C55" i="14"/>
  <c r="B55" i="14"/>
  <c r="F54" i="14"/>
  <c r="E54" i="14"/>
  <c r="D54" i="14"/>
  <c r="C54" i="14"/>
  <c r="B54" i="14"/>
  <c r="F53" i="14"/>
  <c r="E53" i="14"/>
  <c r="D53" i="14"/>
  <c r="C53" i="14"/>
  <c r="B53" i="14"/>
  <c r="F52" i="14"/>
  <c r="E52" i="14"/>
  <c r="D52" i="14"/>
  <c r="C52" i="14"/>
  <c r="B52" i="14"/>
  <c r="F51" i="14"/>
  <c r="E51" i="14"/>
  <c r="D51" i="14"/>
  <c r="C51" i="14"/>
  <c r="B51" i="14"/>
  <c r="F50" i="14"/>
  <c r="E50" i="14"/>
  <c r="D50" i="14"/>
  <c r="C50" i="14"/>
  <c r="B50" i="14"/>
  <c r="F49" i="14"/>
  <c r="E49" i="14"/>
  <c r="D49" i="14"/>
  <c r="C49" i="14"/>
  <c r="B49" i="14"/>
  <c r="F48" i="14"/>
  <c r="E48" i="14"/>
  <c r="D48" i="14"/>
  <c r="C48" i="14"/>
  <c r="B48" i="14"/>
  <c r="F47" i="14"/>
  <c r="E47" i="14"/>
  <c r="D47" i="14"/>
  <c r="C47" i="14"/>
  <c r="B47" i="14"/>
  <c r="F46" i="14"/>
  <c r="E46" i="14"/>
  <c r="D46" i="14"/>
  <c r="C46" i="14"/>
  <c r="B46" i="14"/>
  <c r="F45" i="14"/>
  <c r="E45" i="14"/>
  <c r="D45" i="14"/>
  <c r="C45" i="14"/>
  <c r="B45" i="14"/>
  <c r="F44" i="14"/>
  <c r="E44" i="14"/>
  <c r="D44" i="14"/>
  <c r="C44" i="14"/>
  <c r="B44" i="14"/>
  <c r="F43" i="14"/>
  <c r="E43" i="14"/>
  <c r="D43" i="14"/>
  <c r="C43" i="14"/>
  <c r="B43" i="14"/>
  <c r="F42" i="14"/>
  <c r="E42" i="14"/>
  <c r="D42" i="14"/>
  <c r="C42" i="14"/>
  <c r="B42" i="14"/>
  <c r="F41" i="14"/>
  <c r="E41" i="14"/>
  <c r="D41" i="14"/>
  <c r="C41" i="14"/>
  <c r="B41" i="14"/>
  <c r="F40" i="14"/>
  <c r="E40" i="14"/>
  <c r="D40" i="14"/>
  <c r="C40" i="14"/>
  <c r="B40" i="14"/>
  <c r="F39" i="14"/>
  <c r="E39" i="14"/>
  <c r="D39" i="14"/>
  <c r="C39" i="14"/>
  <c r="B39" i="14"/>
  <c r="F38" i="14"/>
  <c r="E38" i="14"/>
  <c r="D38" i="14"/>
  <c r="C38" i="14"/>
  <c r="B38" i="14"/>
  <c r="F37" i="14"/>
  <c r="E37" i="14"/>
  <c r="D37" i="14"/>
  <c r="C37" i="14"/>
  <c r="B37" i="14"/>
  <c r="F36" i="14"/>
  <c r="E36" i="14"/>
  <c r="D36" i="14"/>
  <c r="C36" i="14"/>
  <c r="B36" i="14"/>
  <c r="F35" i="14"/>
  <c r="E35" i="14"/>
  <c r="D35" i="14"/>
  <c r="C35" i="14"/>
  <c r="B35" i="14"/>
  <c r="F34" i="14"/>
  <c r="E34" i="14"/>
  <c r="D34" i="14"/>
  <c r="C34" i="14"/>
  <c r="B34" i="14"/>
  <c r="F33" i="14"/>
  <c r="E33" i="14"/>
  <c r="D33" i="14"/>
  <c r="C33" i="14"/>
  <c r="B33" i="14"/>
  <c r="F32" i="14"/>
  <c r="E32" i="14"/>
  <c r="D32" i="14"/>
  <c r="C32" i="14"/>
  <c r="B32" i="14"/>
  <c r="F31" i="14"/>
  <c r="E31" i="14"/>
  <c r="D31" i="14"/>
  <c r="C31" i="14"/>
  <c r="B31" i="14"/>
  <c r="F30" i="14"/>
  <c r="E30" i="14"/>
  <c r="D30" i="14"/>
  <c r="C30" i="14"/>
  <c r="B30" i="14"/>
  <c r="F29" i="14"/>
  <c r="E29" i="14"/>
  <c r="D29" i="14"/>
  <c r="C29" i="14"/>
  <c r="B29" i="14"/>
  <c r="F28" i="14"/>
  <c r="E28" i="14"/>
  <c r="D28" i="14"/>
  <c r="C28" i="14"/>
  <c r="B28" i="14"/>
  <c r="F27" i="14"/>
  <c r="E27" i="14"/>
  <c r="D27" i="14"/>
  <c r="C27" i="14"/>
  <c r="B27" i="14"/>
  <c r="F26" i="14"/>
  <c r="E26" i="14"/>
  <c r="D26" i="14"/>
  <c r="C26" i="14"/>
  <c r="B26" i="14"/>
  <c r="F25" i="14"/>
  <c r="E25" i="14"/>
  <c r="D25" i="14"/>
  <c r="C25" i="14"/>
  <c r="B25" i="14"/>
  <c r="F24" i="14"/>
  <c r="E24" i="14"/>
  <c r="D24" i="14"/>
  <c r="C24" i="14"/>
  <c r="B24" i="14"/>
  <c r="F23" i="14"/>
  <c r="E23" i="14"/>
  <c r="D23" i="14"/>
  <c r="C23" i="14"/>
  <c r="B23" i="14"/>
  <c r="F22" i="14"/>
  <c r="E22" i="14"/>
  <c r="D22" i="14"/>
  <c r="C22" i="14"/>
  <c r="B22" i="14"/>
  <c r="F21" i="14"/>
  <c r="E21" i="14"/>
  <c r="D21" i="14"/>
  <c r="C21" i="14"/>
  <c r="B21" i="14"/>
  <c r="F20" i="14"/>
  <c r="E20" i="14"/>
  <c r="D20" i="14"/>
  <c r="C20" i="14"/>
  <c r="B20" i="14"/>
  <c r="F19" i="14"/>
  <c r="E19" i="14"/>
  <c r="D19" i="14"/>
  <c r="C19" i="14"/>
  <c r="B19" i="14"/>
  <c r="F18" i="14"/>
  <c r="E18" i="14"/>
  <c r="D18" i="14"/>
  <c r="C18" i="14"/>
  <c r="B18" i="14"/>
  <c r="F17" i="14"/>
  <c r="E17" i="14"/>
  <c r="D17" i="14"/>
  <c r="C17" i="14"/>
  <c r="B17" i="14"/>
  <c r="F16" i="14"/>
  <c r="E16" i="14"/>
  <c r="D16" i="14"/>
  <c r="C16" i="14"/>
  <c r="B16" i="14"/>
  <c r="F15" i="14"/>
  <c r="E15" i="14"/>
  <c r="D15" i="14"/>
  <c r="C15" i="14"/>
  <c r="B15" i="14"/>
  <c r="F14" i="14"/>
  <c r="E14" i="14"/>
  <c r="D14" i="14"/>
  <c r="C14" i="14"/>
  <c r="B14" i="14"/>
  <c r="F13" i="14"/>
  <c r="E13" i="14"/>
  <c r="D13" i="14"/>
  <c r="C13" i="14"/>
  <c r="B13" i="14"/>
  <c r="F12" i="14"/>
  <c r="E12" i="14"/>
  <c r="D12" i="14"/>
  <c r="C12" i="14"/>
  <c r="B12" i="14"/>
  <c r="F11" i="14"/>
  <c r="E11" i="14"/>
  <c r="D11" i="14"/>
  <c r="C11" i="14"/>
  <c r="B11" i="14"/>
  <c r="F10" i="14"/>
  <c r="E10" i="14"/>
  <c r="D10" i="14"/>
  <c r="C10" i="14"/>
  <c r="B10" i="14"/>
  <c r="F9" i="14"/>
  <c r="E9" i="14"/>
  <c r="D9" i="14"/>
  <c r="C9" i="14"/>
  <c r="B9" i="14"/>
  <c r="F8" i="14"/>
  <c r="E8" i="14"/>
  <c r="D8" i="14"/>
  <c r="C8" i="14"/>
  <c r="B8" i="14"/>
  <c r="F7" i="14"/>
  <c r="E7" i="14"/>
  <c r="D7" i="14"/>
  <c r="C7" i="14"/>
  <c r="B7" i="14"/>
  <c r="F6" i="14"/>
  <c r="E6" i="14"/>
  <c r="D6" i="14"/>
  <c r="C6" i="14"/>
  <c r="B6" i="14"/>
  <c r="F5" i="14"/>
  <c r="E5" i="14"/>
  <c r="D5" i="14"/>
  <c r="C5" i="14"/>
  <c r="B5" i="14"/>
  <c r="F4" i="14"/>
  <c r="E4" i="14"/>
  <c r="D4" i="14"/>
  <c r="C4" i="14"/>
  <c r="B4" i="14"/>
  <c r="F3" i="14"/>
  <c r="E3" i="14"/>
  <c r="D3" i="14"/>
  <c r="C3" i="14"/>
  <c r="B3" i="14"/>
  <c r="F15" i="12"/>
  <c r="E15" i="12"/>
  <c r="D15" i="12"/>
  <c r="C15" i="12"/>
  <c r="B15" i="12"/>
  <c r="F174" i="12"/>
  <c r="E174" i="12"/>
  <c r="D174" i="12"/>
  <c r="C174" i="12"/>
  <c r="B174" i="12"/>
  <c r="F158" i="12"/>
  <c r="E158" i="12"/>
  <c r="D158" i="12"/>
  <c r="C158" i="12"/>
  <c r="B158" i="12"/>
  <c r="F130" i="12"/>
  <c r="E130" i="12"/>
  <c r="D130" i="12"/>
  <c r="C130" i="12"/>
  <c r="B130" i="12"/>
  <c r="F39" i="12"/>
  <c r="E39" i="12"/>
  <c r="D39" i="12"/>
  <c r="C39" i="12"/>
  <c r="B39" i="12"/>
  <c r="F37" i="12"/>
  <c r="E37" i="12"/>
  <c r="D37" i="12"/>
  <c r="C37" i="12"/>
  <c r="B37" i="12"/>
  <c r="F38" i="12"/>
  <c r="E38" i="12"/>
  <c r="D38" i="12"/>
  <c r="C38" i="12"/>
  <c r="B38" i="12"/>
  <c r="F27" i="12"/>
  <c r="E27" i="12"/>
  <c r="D27" i="12"/>
  <c r="C27" i="12"/>
  <c r="B27" i="12"/>
  <c r="F41" i="12"/>
  <c r="E41" i="12"/>
  <c r="D41" i="12"/>
  <c r="C41" i="12"/>
  <c r="B41" i="12"/>
  <c r="F12" i="12"/>
  <c r="E12" i="12"/>
  <c r="D12" i="12"/>
  <c r="C12" i="12"/>
  <c r="B12" i="12"/>
  <c r="F21" i="12"/>
  <c r="E21" i="12"/>
  <c r="D21" i="12"/>
  <c r="C21" i="12"/>
  <c r="B21" i="12"/>
  <c r="F139" i="12"/>
  <c r="E139" i="12"/>
  <c r="D139" i="12"/>
  <c r="C139" i="12"/>
  <c r="B139" i="12"/>
  <c r="F128" i="12"/>
  <c r="E128" i="12"/>
  <c r="D128" i="12"/>
  <c r="C128" i="12"/>
  <c r="B128" i="12"/>
  <c r="F127" i="12"/>
  <c r="E127" i="12"/>
  <c r="D127" i="12"/>
  <c r="C127" i="12"/>
  <c r="B127" i="12"/>
  <c r="F47" i="12"/>
  <c r="E47" i="12"/>
  <c r="D47" i="12"/>
  <c r="C47" i="12"/>
  <c r="B47" i="12"/>
  <c r="F14" i="12"/>
  <c r="E14" i="12"/>
  <c r="D14" i="12"/>
  <c r="C14" i="12"/>
  <c r="B14" i="12"/>
  <c r="F121" i="12"/>
  <c r="E121" i="12"/>
  <c r="D121" i="12"/>
  <c r="C121" i="12"/>
  <c r="B121" i="12"/>
  <c r="F119" i="12"/>
  <c r="E119" i="12"/>
  <c r="D119" i="12"/>
  <c r="C119" i="12"/>
  <c r="B119" i="12"/>
  <c r="F98" i="12"/>
  <c r="E98" i="12"/>
  <c r="D98" i="12"/>
  <c r="C98" i="12"/>
  <c r="B98" i="12"/>
  <c r="F25" i="12"/>
  <c r="E25" i="12"/>
  <c r="D25" i="12"/>
  <c r="C25" i="12"/>
  <c r="B25" i="12"/>
  <c r="F97" i="12"/>
  <c r="E97" i="12"/>
  <c r="D97" i="12"/>
  <c r="C97" i="12"/>
  <c r="B97" i="12"/>
  <c r="F80" i="12"/>
  <c r="E80" i="12"/>
  <c r="D80" i="12"/>
  <c r="C80" i="12"/>
  <c r="B80" i="12"/>
  <c r="F115" i="12"/>
  <c r="E115" i="12"/>
  <c r="D115" i="12"/>
  <c r="C115" i="12"/>
  <c r="B115" i="12"/>
  <c r="F83" i="12"/>
  <c r="E83" i="12"/>
  <c r="D83" i="12"/>
  <c r="C83" i="12"/>
  <c r="B83" i="12"/>
  <c r="F181" i="12"/>
  <c r="E181" i="12"/>
  <c r="D181" i="12"/>
  <c r="C181" i="12"/>
  <c r="B181" i="12"/>
  <c r="F178" i="12"/>
  <c r="E178" i="12"/>
  <c r="D178" i="12"/>
  <c r="C178" i="12"/>
  <c r="B178" i="12"/>
  <c r="F175" i="12"/>
  <c r="E175" i="12"/>
  <c r="D175" i="12"/>
  <c r="C175" i="12"/>
  <c r="B175" i="12"/>
  <c r="F170" i="12"/>
  <c r="E170" i="12"/>
  <c r="D170" i="12"/>
  <c r="C170" i="12"/>
  <c r="B170" i="12"/>
  <c r="F169" i="12"/>
  <c r="E169" i="12"/>
  <c r="D169" i="12"/>
  <c r="C169" i="12"/>
  <c r="B169" i="12"/>
  <c r="F163" i="12"/>
  <c r="E163" i="12"/>
  <c r="D163" i="12"/>
  <c r="C163" i="12"/>
  <c r="B163" i="12"/>
  <c r="F160" i="12"/>
  <c r="E160" i="12"/>
  <c r="D160" i="12"/>
  <c r="C160" i="12"/>
  <c r="B160" i="12"/>
  <c r="F156" i="12"/>
  <c r="E156" i="12"/>
  <c r="D156" i="12"/>
  <c r="C156" i="12"/>
  <c r="B156" i="12"/>
  <c r="F36" i="12"/>
  <c r="E36" i="12"/>
  <c r="D36" i="12"/>
  <c r="C36" i="12"/>
  <c r="B36" i="12"/>
  <c r="F155" i="12"/>
  <c r="E155" i="12"/>
  <c r="D155" i="12"/>
  <c r="C155" i="12"/>
  <c r="B155" i="12"/>
  <c r="F154" i="12"/>
  <c r="E154" i="12"/>
  <c r="D154" i="12"/>
  <c r="C154" i="12"/>
  <c r="B154" i="12"/>
  <c r="F149" i="12"/>
  <c r="E149" i="12"/>
  <c r="D149" i="12"/>
  <c r="C149" i="12"/>
  <c r="B149" i="12"/>
  <c r="F148" i="12"/>
  <c r="E148" i="12"/>
  <c r="D148" i="12"/>
  <c r="C148" i="12"/>
  <c r="B148" i="12"/>
  <c r="F132" i="12"/>
  <c r="E132" i="12"/>
  <c r="D132" i="12"/>
  <c r="C132" i="12"/>
  <c r="B132" i="12"/>
  <c r="F129" i="12"/>
  <c r="E129" i="12"/>
  <c r="D129" i="12"/>
  <c r="C129" i="12"/>
  <c r="B129" i="12"/>
  <c r="F106" i="12"/>
  <c r="E106" i="12"/>
  <c r="D106" i="12"/>
  <c r="C106" i="12"/>
  <c r="B106" i="12"/>
  <c r="F103" i="12"/>
  <c r="E103" i="12"/>
  <c r="D103" i="12"/>
  <c r="C103" i="12"/>
  <c r="B103" i="12"/>
  <c r="F100" i="12"/>
  <c r="E100" i="12"/>
  <c r="D100" i="12"/>
  <c r="C100" i="12"/>
  <c r="B100" i="12"/>
  <c r="F96" i="12"/>
  <c r="E96" i="12"/>
  <c r="D96" i="12"/>
  <c r="C96" i="12"/>
  <c r="B96" i="12"/>
  <c r="F95" i="12"/>
  <c r="E95" i="12"/>
  <c r="D95" i="12"/>
  <c r="C95" i="12"/>
  <c r="B95" i="12"/>
  <c r="F93" i="12"/>
  <c r="E93" i="12"/>
  <c r="D93" i="12"/>
  <c r="C93" i="12"/>
  <c r="B93" i="12"/>
  <c r="F91" i="12"/>
  <c r="E91" i="12"/>
  <c r="D91" i="12"/>
  <c r="C91" i="12"/>
  <c r="B91" i="12"/>
  <c r="F89" i="12"/>
  <c r="E89" i="12"/>
  <c r="D89" i="12"/>
  <c r="C89" i="12"/>
  <c r="B89" i="12"/>
  <c r="F85" i="12"/>
  <c r="E85" i="12"/>
  <c r="D85" i="12"/>
  <c r="C85" i="12"/>
  <c r="B85" i="12"/>
  <c r="F82" i="12"/>
  <c r="E82" i="12"/>
  <c r="D82" i="12"/>
  <c r="C82" i="12"/>
  <c r="B82" i="12"/>
  <c r="F81" i="12"/>
  <c r="E81" i="12"/>
  <c r="D81" i="12"/>
  <c r="C81" i="12"/>
  <c r="B81" i="12"/>
  <c r="F79" i="12"/>
  <c r="E79" i="12"/>
  <c r="D79" i="12"/>
  <c r="C79" i="12"/>
  <c r="B79" i="12"/>
  <c r="F77" i="12"/>
  <c r="E77" i="12"/>
  <c r="D77" i="12"/>
  <c r="C77" i="12"/>
  <c r="B77" i="12"/>
  <c r="F76" i="12"/>
  <c r="E76" i="12"/>
  <c r="D76" i="12"/>
  <c r="C76" i="12"/>
  <c r="B76" i="12"/>
  <c r="F73" i="12"/>
  <c r="E73" i="12"/>
  <c r="D73" i="12"/>
  <c r="C73" i="12"/>
  <c r="B73" i="12"/>
  <c r="F72" i="12"/>
  <c r="E72" i="12"/>
  <c r="D72" i="12"/>
  <c r="C72" i="12"/>
  <c r="B72" i="12"/>
  <c r="F57" i="12"/>
  <c r="E57" i="12"/>
  <c r="D57" i="12"/>
  <c r="C57" i="12"/>
  <c r="B57" i="12"/>
  <c r="F53" i="12"/>
  <c r="E53" i="12"/>
  <c r="D53" i="12"/>
  <c r="C53" i="12"/>
  <c r="B53" i="12"/>
  <c r="F45" i="12"/>
  <c r="E45" i="12"/>
  <c r="D45" i="12"/>
  <c r="C45" i="12"/>
  <c r="B45" i="12"/>
  <c r="F104" i="12"/>
  <c r="E104" i="12"/>
  <c r="D104" i="12"/>
  <c r="C104" i="12"/>
  <c r="B104" i="12"/>
  <c r="F22" i="12"/>
  <c r="E22" i="12"/>
  <c r="D22" i="12"/>
  <c r="C22" i="12"/>
  <c r="B22" i="12"/>
  <c r="F34" i="12"/>
  <c r="E34" i="12"/>
  <c r="D34" i="12"/>
  <c r="C34" i="12"/>
  <c r="B34" i="12"/>
  <c r="F33" i="12"/>
  <c r="E33" i="12"/>
  <c r="D33" i="12"/>
  <c r="C33" i="12"/>
  <c r="B33" i="12"/>
  <c r="F23" i="12"/>
  <c r="E23" i="12"/>
  <c r="D23" i="12"/>
  <c r="C23" i="12"/>
  <c r="B23" i="12"/>
  <c r="F28" i="12"/>
  <c r="E28" i="12"/>
  <c r="D28" i="12"/>
  <c r="C28" i="12"/>
  <c r="B28" i="12"/>
  <c r="F180" i="12"/>
  <c r="E180" i="12"/>
  <c r="D180" i="12"/>
  <c r="C180" i="12"/>
  <c r="B180" i="12"/>
  <c r="F179" i="12"/>
  <c r="E179" i="12"/>
  <c r="D179" i="12"/>
  <c r="C179" i="12"/>
  <c r="B179" i="12"/>
  <c r="F177" i="12"/>
  <c r="E177" i="12"/>
  <c r="D177" i="12"/>
  <c r="C177" i="12"/>
  <c r="B177" i="12"/>
  <c r="F176" i="12"/>
  <c r="E176" i="12"/>
  <c r="D176" i="12"/>
  <c r="C176" i="12"/>
  <c r="B176" i="12"/>
  <c r="F173" i="12"/>
  <c r="E173" i="12"/>
  <c r="D173" i="12"/>
  <c r="C173" i="12"/>
  <c r="B173" i="12"/>
  <c r="F172" i="12"/>
  <c r="E172" i="12"/>
  <c r="D172" i="12"/>
  <c r="C172" i="12"/>
  <c r="B172" i="12"/>
  <c r="F171" i="12"/>
  <c r="E171" i="12"/>
  <c r="D171" i="12"/>
  <c r="C171" i="12"/>
  <c r="B171" i="12"/>
  <c r="F168" i="12"/>
  <c r="E168" i="12"/>
  <c r="D168" i="12"/>
  <c r="C168" i="12"/>
  <c r="B168" i="12"/>
  <c r="F167" i="12"/>
  <c r="E167" i="12"/>
  <c r="D167" i="12"/>
  <c r="C167" i="12"/>
  <c r="B167" i="12"/>
  <c r="F166" i="12"/>
  <c r="E166" i="12"/>
  <c r="D166" i="12"/>
  <c r="C166" i="12"/>
  <c r="B166" i="12"/>
  <c r="F32" i="12"/>
  <c r="E32" i="12"/>
  <c r="D32" i="12"/>
  <c r="C32" i="12"/>
  <c r="B32" i="12"/>
  <c r="F165" i="12"/>
  <c r="E165" i="12"/>
  <c r="D165" i="12"/>
  <c r="C165" i="12"/>
  <c r="B165" i="12"/>
  <c r="F162" i="12"/>
  <c r="E162" i="12"/>
  <c r="D162" i="12"/>
  <c r="C162" i="12"/>
  <c r="B162" i="12"/>
  <c r="F161" i="12"/>
  <c r="E161" i="12"/>
  <c r="D161" i="12"/>
  <c r="C161" i="12"/>
  <c r="B161" i="12"/>
  <c r="F159" i="12"/>
  <c r="E159" i="12"/>
  <c r="D159" i="12"/>
  <c r="C159" i="12"/>
  <c r="B159" i="12"/>
  <c r="F157" i="12"/>
  <c r="E157" i="12"/>
  <c r="D157" i="12"/>
  <c r="C157" i="12"/>
  <c r="B157" i="12"/>
  <c r="F153" i="12"/>
  <c r="E153" i="12"/>
  <c r="D153" i="12"/>
  <c r="C153" i="12"/>
  <c r="B153" i="12"/>
  <c r="F152" i="12"/>
  <c r="E152" i="12"/>
  <c r="D152" i="12"/>
  <c r="C152" i="12"/>
  <c r="B152" i="12"/>
  <c r="F150" i="12"/>
  <c r="E150" i="12"/>
  <c r="D150" i="12"/>
  <c r="C150" i="12"/>
  <c r="B150" i="12"/>
  <c r="F24" i="12"/>
  <c r="E24" i="12"/>
  <c r="D24" i="12"/>
  <c r="C24" i="12"/>
  <c r="B24" i="12"/>
  <c r="F147" i="12"/>
  <c r="E147" i="12"/>
  <c r="D147" i="12"/>
  <c r="C147" i="12"/>
  <c r="B147" i="12"/>
  <c r="F143" i="12"/>
  <c r="E143" i="12"/>
  <c r="D143" i="12"/>
  <c r="C143" i="12"/>
  <c r="B143" i="12"/>
  <c r="F142" i="12"/>
  <c r="E142" i="12"/>
  <c r="D142" i="12"/>
  <c r="C142" i="12"/>
  <c r="B142" i="12"/>
  <c r="F141" i="12"/>
  <c r="E141" i="12"/>
  <c r="D141" i="12"/>
  <c r="C141" i="12"/>
  <c r="B141" i="12"/>
  <c r="F140" i="12"/>
  <c r="E140" i="12"/>
  <c r="D140" i="12"/>
  <c r="C140" i="12"/>
  <c r="B140" i="12"/>
  <c r="F137" i="12"/>
  <c r="E137" i="12"/>
  <c r="D137" i="12"/>
  <c r="C137" i="12"/>
  <c r="B137" i="12"/>
  <c r="F135" i="12"/>
  <c r="E135" i="12"/>
  <c r="D135" i="12"/>
  <c r="C135" i="12"/>
  <c r="B135" i="12"/>
  <c r="F134" i="12"/>
  <c r="E134" i="12"/>
  <c r="D134" i="12"/>
  <c r="C134" i="12"/>
  <c r="B134" i="12"/>
  <c r="F133" i="12"/>
  <c r="E133" i="12"/>
  <c r="D133" i="12"/>
  <c r="C133" i="12"/>
  <c r="B133" i="12"/>
  <c r="F131" i="12"/>
  <c r="E131" i="12"/>
  <c r="D131" i="12"/>
  <c r="C131" i="12"/>
  <c r="B131" i="12"/>
  <c r="F126" i="12"/>
  <c r="E126" i="12"/>
  <c r="D126" i="12"/>
  <c r="C126" i="12"/>
  <c r="B126" i="12"/>
  <c r="F125" i="12"/>
  <c r="E125" i="12"/>
  <c r="D125" i="12"/>
  <c r="C125" i="12"/>
  <c r="B125" i="12"/>
  <c r="F124" i="12"/>
  <c r="E124" i="12"/>
  <c r="D124" i="12"/>
  <c r="C124" i="12"/>
  <c r="B124" i="12"/>
  <c r="F123" i="12"/>
  <c r="E123" i="12"/>
  <c r="D123" i="12"/>
  <c r="C123" i="12"/>
  <c r="B123" i="12"/>
  <c r="F122" i="12"/>
  <c r="E122" i="12"/>
  <c r="D122" i="12"/>
  <c r="C122" i="12"/>
  <c r="B122" i="12"/>
  <c r="F35" i="12"/>
  <c r="E35" i="12"/>
  <c r="D35" i="12"/>
  <c r="C35" i="12"/>
  <c r="B35" i="12"/>
  <c r="F120" i="12"/>
  <c r="E120" i="12"/>
  <c r="D120" i="12"/>
  <c r="C120" i="12"/>
  <c r="B120" i="12"/>
  <c r="F118" i="12"/>
  <c r="E118" i="12"/>
  <c r="D118" i="12"/>
  <c r="C118" i="12"/>
  <c r="B118" i="12"/>
  <c r="F117" i="12"/>
  <c r="E117" i="12"/>
  <c r="D117" i="12"/>
  <c r="C117" i="12"/>
  <c r="B117" i="12"/>
  <c r="F31" i="12"/>
  <c r="E31" i="12"/>
  <c r="D31" i="12"/>
  <c r="C31" i="12"/>
  <c r="B31" i="12"/>
  <c r="F116" i="12"/>
  <c r="E116" i="12"/>
  <c r="D116" i="12"/>
  <c r="C116" i="12"/>
  <c r="B116" i="12"/>
  <c r="F114" i="12"/>
  <c r="E114" i="12"/>
  <c r="D114" i="12"/>
  <c r="C114" i="12"/>
  <c r="B114" i="12"/>
  <c r="F113" i="12"/>
  <c r="E113" i="12"/>
  <c r="D113" i="12"/>
  <c r="C113" i="12"/>
  <c r="B113" i="12"/>
  <c r="F112" i="12"/>
  <c r="E112" i="12"/>
  <c r="D112" i="12"/>
  <c r="C112" i="12"/>
  <c r="B112" i="12"/>
  <c r="F111" i="12"/>
  <c r="E111" i="12"/>
  <c r="D111" i="12"/>
  <c r="C111" i="12"/>
  <c r="B111" i="12"/>
  <c r="F110" i="12"/>
  <c r="E110" i="12"/>
  <c r="D110" i="12"/>
  <c r="C110" i="12"/>
  <c r="B110" i="12"/>
  <c r="F109" i="12"/>
  <c r="E109" i="12"/>
  <c r="D109" i="12"/>
  <c r="C109" i="12"/>
  <c r="B109" i="12"/>
  <c r="F19" i="12"/>
  <c r="E19" i="12"/>
  <c r="D19" i="12"/>
  <c r="C19" i="12"/>
  <c r="B19" i="12"/>
  <c r="F108" i="12"/>
  <c r="E108" i="12"/>
  <c r="D108" i="12"/>
  <c r="C108" i="12"/>
  <c r="B108" i="12"/>
  <c r="F107" i="12"/>
  <c r="E107" i="12"/>
  <c r="D107" i="12"/>
  <c r="C107" i="12"/>
  <c r="B107" i="12"/>
  <c r="F105" i="12"/>
  <c r="E105" i="12"/>
  <c r="D105" i="12"/>
  <c r="C105" i="12"/>
  <c r="B105" i="12"/>
  <c r="F102" i="12"/>
  <c r="E102" i="12"/>
  <c r="D102" i="12"/>
  <c r="C102" i="12"/>
  <c r="B102" i="12"/>
  <c r="F101" i="12"/>
  <c r="E101" i="12"/>
  <c r="D101" i="12"/>
  <c r="C101" i="12"/>
  <c r="B101" i="12"/>
  <c r="F99" i="12"/>
  <c r="E99" i="12"/>
  <c r="D99" i="12"/>
  <c r="C99" i="12"/>
  <c r="B99" i="12"/>
  <c r="F94" i="12"/>
  <c r="E94" i="12"/>
  <c r="D94" i="12"/>
  <c r="C94" i="12"/>
  <c r="B94" i="12"/>
  <c r="F92" i="12"/>
  <c r="E92" i="12"/>
  <c r="D92" i="12"/>
  <c r="C92" i="12"/>
  <c r="B92" i="12"/>
  <c r="F90" i="12"/>
  <c r="E90" i="12"/>
  <c r="D90" i="12"/>
  <c r="C90" i="12"/>
  <c r="B90" i="12"/>
  <c r="F88" i="12"/>
  <c r="E88" i="12"/>
  <c r="D88" i="12"/>
  <c r="C88" i="12"/>
  <c r="B88" i="12"/>
  <c r="F86" i="12"/>
  <c r="E86" i="12"/>
  <c r="D86" i="12"/>
  <c r="C86" i="12"/>
  <c r="B86" i="12"/>
  <c r="F84" i="12"/>
  <c r="E84" i="12"/>
  <c r="D84" i="12"/>
  <c r="C84" i="12"/>
  <c r="B84" i="12"/>
  <c r="F44" i="12"/>
  <c r="E44" i="12"/>
  <c r="D44" i="12"/>
  <c r="C44" i="12"/>
  <c r="B44" i="12"/>
  <c r="F78" i="12"/>
  <c r="E78" i="12"/>
  <c r="D78" i="12"/>
  <c r="C78" i="12"/>
  <c r="B78" i="12"/>
  <c r="F26" i="12"/>
  <c r="E26" i="12"/>
  <c r="D26" i="12"/>
  <c r="C26" i="12"/>
  <c r="B26" i="12"/>
  <c r="F75" i="12"/>
  <c r="E75" i="12"/>
  <c r="D75" i="12"/>
  <c r="C75" i="12"/>
  <c r="B75" i="12"/>
  <c r="F10" i="12"/>
  <c r="E10" i="12"/>
  <c r="D10" i="12"/>
  <c r="C10" i="12"/>
  <c r="B10" i="12"/>
  <c r="F18" i="12"/>
  <c r="E18" i="12"/>
  <c r="D18" i="12"/>
  <c r="C18" i="12"/>
  <c r="B18" i="12"/>
  <c r="F74" i="12"/>
  <c r="E74" i="12"/>
  <c r="D74" i="12"/>
  <c r="C74" i="12"/>
  <c r="B74" i="12"/>
  <c r="F70" i="12"/>
  <c r="E70" i="12"/>
  <c r="D70" i="12"/>
  <c r="C70" i="12"/>
  <c r="B70" i="12"/>
  <c r="F69" i="12"/>
  <c r="E69" i="12"/>
  <c r="D69" i="12"/>
  <c r="C69" i="12"/>
  <c r="B69" i="12"/>
  <c r="F68" i="12"/>
  <c r="E68" i="12"/>
  <c r="D68" i="12"/>
  <c r="C68" i="12"/>
  <c r="B68" i="12"/>
  <c r="F67" i="12"/>
  <c r="E67" i="12"/>
  <c r="D67" i="12"/>
  <c r="C67" i="12"/>
  <c r="B67" i="12"/>
  <c r="F66" i="12"/>
  <c r="E66" i="12"/>
  <c r="D66" i="12"/>
  <c r="C66" i="12"/>
  <c r="B66" i="12"/>
  <c r="F63" i="12"/>
  <c r="E63" i="12"/>
  <c r="D63" i="12"/>
  <c r="C63" i="12"/>
  <c r="B63" i="12"/>
  <c r="F62" i="12"/>
  <c r="E62" i="12"/>
  <c r="D62" i="12"/>
  <c r="C62" i="12"/>
  <c r="B62" i="12"/>
  <c r="F61" i="12"/>
  <c r="E61" i="12"/>
  <c r="D61" i="12"/>
  <c r="C61" i="12"/>
  <c r="B61" i="12"/>
  <c r="F60" i="12"/>
  <c r="E60" i="12"/>
  <c r="D60" i="12"/>
  <c r="C60" i="12"/>
  <c r="B60" i="12"/>
  <c r="F59" i="12"/>
  <c r="E59" i="12"/>
  <c r="D59" i="12"/>
  <c r="C59" i="12"/>
  <c r="B59" i="12"/>
  <c r="F58" i="12"/>
  <c r="E58" i="12"/>
  <c r="D58" i="12"/>
  <c r="C58" i="12"/>
  <c r="B58" i="12"/>
  <c r="F56" i="12"/>
  <c r="E56" i="12"/>
  <c r="D56" i="12"/>
  <c r="C56" i="12"/>
  <c r="B56" i="12"/>
  <c r="F55" i="12"/>
  <c r="E55" i="12"/>
  <c r="D55" i="12"/>
  <c r="C55" i="12"/>
  <c r="B55" i="12"/>
  <c r="F54" i="12"/>
  <c r="E54" i="12"/>
  <c r="D54" i="12"/>
  <c r="C54" i="12"/>
  <c r="B54" i="12"/>
  <c r="F52" i="12"/>
  <c r="E52" i="12"/>
  <c r="D52" i="12"/>
  <c r="C52" i="12"/>
  <c r="B52" i="12"/>
  <c r="F51" i="12"/>
  <c r="E51" i="12"/>
  <c r="D51" i="12"/>
  <c r="C51" i="12"/>
  <c r="B51" i="12"/>
  <c r="F29" i="12"/>
  <c r="E29" i="12"/>
  <c r="D29" i="12"/>
  <c r="C29" i="12"/>
  <c r="B29" i="12"/>
  <c r="F20" i="12"/>
  <c r="E20" i="12"/>
  <c r="D20" i="12"/>
  <c r="C20" i="12"/>
  <c r="B20" i="12"/>
  <c r="F9" i="12"/>
  <c r="E9" i="12"/>
  <c r="D9" i="12"/>
  <c r="C9" i="12"/>
  <c r="B9" i="12"/>
  <c r="F46" i="12"/>
  <c r="E46" i="12"/>
  <c r="D46" i="12"/>
  <c r="C46" i="12"/>
  <c r="B46" i="12"/>
  <c r="F164" i="12"/>
  <c r="E164" i="12"/>
  <c r="D164" i="12"/>
  <c r="C164" i="12"/>
  <c r="B164" i="12"/>
  <c r="F5" i="12"/>
  <c r="E5" i="12"/>
  <c r="D5" i="12"/>
  <c r="C5" i="12"/>
  <c r="B5" i="12"/>
  <c r="F87" i="12"/>
  <c r="E87" i="12"/>
  <c r="D87" i="12"/>
  <c r="C87" i="12"/>
  <c r="B87" i="12"/>
  <c r="F40" i="12"/>
  <c r="E40" i="12"/>
  <c r="D40" i="12"/>
  <c r="C40" i="12"/>
  <c r="B40" i="12"/>
  <c r="F8" i="12"/>
  <c r="E8" i="12"/>
  <c r="D8" i="12"/>
  <c r="C8" i="12"/>
  <c r="B8" i="12"/>
  <c r="F17" i="12"/>
  <c r="E17" i="12"/>
  <c r="D17" i="12"/>
  <c r="C17" i="12"/>
  <c r="B17" i="12"/>
  <c r="F4" i="12"/>
  <c r="E4" i="12"/>
  <c r="D4" i="12"/>
  <c r="C4" i="12"/>
  <c r="B4" i="12"/>
  <c r="F11" i="12"/>
  <c r="E11" i="12"/>
  <c r="D11" i="12"/>
  <c r="C11" i="12"/>
  <c r="B11" i="12"/>
  <c r="F43" i="12"/>
  <c r="E43" i="12"/>
  <c r="D43" i="12"/>
  <c r="C43" i="12"/>
  <c r="B43" i="12"/>
  <c r="F136" i="12"/>
  <c r="E136" i="12"/>
  <c r="D136" i="12"/>
  <c r="C136" i="12"/>
  <c r="B136" i="12"/>
  <c r="F16" i="12"/>
  <c r="E16" i="12"/>
  <c r="D16" i="12"/>
  <c r="C16" i="12"/>
  <c r="B16" i="12"/>
  <c r="F42" i="12"/>
  <c r="E42" i="12"/>
  <c r="D42" i="12"/>
  <c r="C42" i="12"/>
  <c r="B42" i="12"/>
  <c r="F146" i="12"/>
  <c r="E146" i="12"/>
  <c r="D146" i="12"/>
  <c r="C146" i="12"/>
  <c r="B146" i="12"/>
  <c r="F145" i="12"/>
  <c r="E145" i="12"/>
  <c r="D145" i="12"/>
  <c r="C145" i="12"/>
  <c r="B145" i="12"/>
  <c r="F144" i="12"/>
  <c r="E144" i="12"/>
  <c r="D144" i="12"/>
  <c r="C144" i="12"/>
  <c r="B144" i="12"/>
  <c r="F138" i="12"/>
  <c r="E138" i="12"/>
  <c r="D138" i="12"/>
  <c r="C138" i="12"/>
  <c r="B138" i="12"/>
  <c r="F71" i="12"/>
  <c r="E71" i="12"/>
  <c r="D71" i="12"/>
  <c r="C71" i="12"/>
  <c r="B71" i="12"/>
  <c r="F50" i="12"/>
  <c r="E50" i="12"/>
  <c r="D50" i="12"/>
  <c r="C50" i="12"/>
  <c r="B50" i="12"/>
  <c r="F49" i="12"/>
  <c r="E49" i="12"/>
  <c r="D49" i="12"/>
  <c r="C49" i="12"/>
  <c r="B49" i="12"/>
  <c r="F151" i="12"/>
  <c r="E151" i="12"/>
  <c r="D151" i="12"/>
  <c r="C151" i="12"/>
  <c r="B151" i="12"/>
  <c r="F65" i="12"/>
  <c r="E65" i="12"/>
  <c r="D65" i="12"/>
  <c r="C65" i="12"/>
  <c r="B65" i="12"/>
  <c r="F64" i="12"/>
  <c r="E64" i="12"/>
  <c r="D64" i="12"/>
  <c r="C64" i="12"/>
  <c r="B64" i="12"/>
  <c r="F7" i="12"/>
  <c r="E7" i="12"/>
  <c r="D7" i="12"/>
  <c r="C7" i="12"/>
  <c r="B7" i="12"/>
  <c r="F3" i="12"/>
  <c r="E3" i="12"/>
  <c r="D3" i="12"/>
  <c r="C3" i="12"/>
  <c r="B3" i="12"/>
  <c r="F30" i="12"/>
  <c r="E30" i="12"/>
  <c r="D30" i="12"/>
  <c r="C30" i="12"/>
  <c r="B30" i="12"/>
  <c r="F13" i="12"/>
  <c r="E13" i="12"/>
  <c r="D13" i="12"/>
  <c r="C13" i="12"/>
  <c r="B13" i="12"/>
  <c r="F48" i="12"/>
  <c r="E48" i="12"/>
  <c r="D48" i="12"/>
  <c r="C48" i="12"/>
  <c r="B48" i="12"/>
  <c r="F6" i="12"/>
  <c r="E6" i="12"/>
  <c r="D6" i="12"/>
  <c r="C6" i="12"/>
  <c r="B6" i="12"/>
  <c r="F187" i="11"/>
  <c r="E187" i="11"/>
  <c r="D187" i="11"/>
  <c r="C187" i="11"/>
  <c r="B187" i="11"/>
  <c r="F186" i="11"/>
  <c r="E186" i="11"/>
  <c r="D186" i="11"/>
  <c r="C186" i="11"/>
  <c r="B186" i="11"/>
  <c r="F185" i="11"/>
  <c r="E185" i="11"/>
  <c r="D185" i="11"/>
  <c r="C185" i="11"/>
  <c r="B185" i="11"/>
  <c r="F184" i="11"/>
  <c r="E184" i="11"/>
  <c r="D184" i="11"/>
  <c r="C184" i="11"/>
  <c r="B184" i="11"/>
  <c r="F183" i="11"/>
  <c r="E183" i="11"/>
  <c r="D183" i="11"/>
  <c r="C183" i="11"/>
  <c r="B183" i="11"/>
  <c r="F182" i="11"/>
  <c r="E182" i="11"/>
  <c r="D182" i="11"/>
  <c r="C182" i="11"/>
  <c r="B182" i="11"/>
  <c r="F181" i="11"/>
  <c r="E181" i="11"/>
  <c r="D181" i="11"/>
  <c r="C181" i="11"/>
  <c r="B181" i="11"/>
  <c r="F41" i="11"/>
  <c r="E41" i="11"/>
  <c r="D41" i="11"/>
  <c r="C41" i="11"/>
  <c r="B41" i="11"/>
  <c r="F44" i="11"/>
  <c r="E44" i="11"/>
  <c r="D44" i="11"/>
  <c r="C44" i="11"/>
  <c r="B44" i="11"/>
  <c r="F46" i="11"/>
  <c r="E46" i="11"/>
  <c r="D46" i="11"/>
  <c r="C46" i="11"/>
  <c r="B46" i="11"/>
  <c r="F180" i="11"/>
  <c r="E180" i="11"/>
  <c r="D180" i="11"/>
  <c r="C180" i="11"/>
  <c r="B180" i="11"/>
  <c r="F179" i="11"/>
  <c r="E179" i="11"/>
  <c r="D179" i="11"/>
  <c r="C179" i="11"/>
  <c r="B179" i="11"/>
  <c r="F178" i="11"/>
  <c r="E178" i="11"/>
  <c r="D178" i="11"/>
  <c r="C178" i="11"/>
  <c r="B178" i="11"/>
  <c r="F45" i="11"/>
  <c r="E45" i="11"/>
  <c r="D45" i="11"/>
  <c r="C45" i="11"/>
  <c r="B45" i="11"/>
  <c r="F177" i="11"/>
  <c r="E177" i="11"/>
  <c r="D177" i="11"/>
  <c r="C177" i="11"/>
  <c r="B177" i="11"/>
  <c r="F176" i="11"/>
  <c r="E176" i="11"/>
  <c r="D176" i="11"/>
  <c r="C176" i="11"/>
  <c r="B176" i="11"/>
  <c r="F175" i="11"/>
  <c r="E175" i="11"/>
  <c r="D175" i="11"/>
  <c r="C175" i="11"/>
  <c r="B175" i="11"/>
  <c r="F174" i="11"/>
  <c r="E174" i="11"/>
  <c r="D174" i="11"/>
  <c r="C174" i="11"/>
  <c r="B174" i="11"/>
  <c r="F173" i="11"/>
  <c r="E173" i="11"/>
  <c r="D173" i="11"/>
  <c r="C173" i="11"/>
  <c r="B173" i="11"/>
  <c r="F172" i="11"/>
  <c r="E172" i="11"/>
  <c r="D172" i="11"/>
  <c r="C172" i="11"/>
  <c r="B172" i="11"/>
  <c r="F34" i="11"/>
  <c r="E34" i="11"/>
  <c r="D34" i="11"/>
  <c r="C34" i="11"/>
  <c r="B34" i="11"/>
  <c r="F171" i="11"/>
  <c r="E171" i="11"/>
  <c r="D171" i="11"/>
  <c r="C171" i="11"/>
  <c r="B171" i="11"/>
  <c r="F170" i="11"/>
  <c r="E170" i="11"/>
  <c r="D170" i="11"/>
  <c r="C170" i="11"/>
  <c r="B170" i="11"/>
  <c r="F169" i="11"/>
  <c r="E169" i="11"/>
  <c r="D169" i="11"/>
  <c r="C169" i="11"/>
  <c r="B169" i="11"/>
  <c r="F168" i="11"/>
  <c r="E168" i="11"/>
  <c r="D168" i="11"/>
  <c r="C168" i="11"/>
  <c r="B168" i="11"/>
  <c r="F167" i="11"/>
  <c r="E167" i="11"/>
  <c r="D167" i="11"/>
  <c r="C167" i="11"/>
  <c r="B167" i="11"/>
  <c r="F166" i="11"/>
  <c r="E166" i="11"/>
  <c r="D166" i="11"/>
  <c r="C166" i="11"/>
  <c r="B166" i="11"/>
  <c r="F165" i="11"/>
  <c r="E165" i="11"/>
  <c r="D165" i="11"/>
  <c r="C165" i="11"/>
  <c r="B165" i="11"/>
  <c r="F164" i="11"/>
  <c r="E164" i="11"/>
  <c r="D164" i="11"/>
  <c r="C164" i="11"/>
  <c r="B164" i="11"/>
  <c r="F163" i="11"/>
  <c r="E163" i="11"/>
  <c r="D163" i="11"/>
  <c r="C163" i="11"/>
  <c r="B163" i="11"/>
  <c r="F42" i="11"/>
  <c r="E42" i="11"/>
  <c r="D42" i="11"/>
  <c r="C42" i="11"/>
  <c r="B42" i="11"/>
  <c r="F162" i="11"/>
  <c r="E162" i="11"/>
  <c r="D162" i="11"/>
  <c r="C162" i="11"/>
  <c r="B162" i="11"/>
  <c r="F40" i="11"/>
  <c r="E40" i="11"/>
  <c r="D40" i="11"/>
  <c r="C40" i="11"/>
  <c r="B40" i="11"/>
  <c r="F161" i="11"/>
  <c r="E161" i="11"/>
  <c r="D161" i="11"/>
  <c r="C161" i="11"/>
  <c r="B161" i="11"/>
  <c r="F160" i="11"/>
  <c r="E160" i="11"/>
  <c r="D160" i="11"/>
  <c r="C160" i="11"/>
  <c r="B160" i="11"/>
  <c r="F29" i="11"/>
  <c r="E29" i="11"/>
  <c r="D29" i="11"/>
  <c r="C29" i="11"/>
  <c r="B29" i="11"/>
  <c r="F159" i="11"/>
  <c r="E159" i="11"/>
  <c r="D159" i="11"/>
  <c r="C159" i="11"/>
  <c r="B159" i="11"/>
  <c r="F158" i="11"/>
  <c r="E158" i="11"/>
  <c r="D158" i="11"/>
  <c r="C158" i="11"/>
  <c r="B158" i="11"/>
  <c r="F157" i="11"/>
  <c r="E157" i="11"/>
  <c r="D157" i="11"/>
  <c r="C157" i="11"/>
  <c r="B157" i="11"/>
  <c r="F156" i="11"/>
  <c r="E156" i="11"/>
  <c r="D156" i="11"/>
  <c r="C156" i="11"/>
  <c r="B156" i="11"/>
  <c r="F43" i="11"/>
  <c r="E43" i="11"/>
  <c r="D43" i="11"/>
  <c r="C43" i="11"/>
  <c r="B43" i="11"/>
  <c r="F18" i="11"/>
  <c r="E18" i="11"/>
  <c r="D18" i="11"/>
  <c r="C18" i="11"/>
  <c r="B18" i="11"/>
  <c r="F32" i="11"/>
  <c r="E32" i="11"/>
  <c r="D32" i="11"/>
  <c r="C32" i="11"/>
  <c r="B32" i="11"/>
  <c r="F155" i="11"/>
  <c r="E155" i="11"/>
  <c r="D155" i="11"/>
  <c r="C155" i="11"/>
  <c r="B155" i="11"/>
  <c r="F154" i="11"/>
  <c r="E154" i="11"/>
  <c r="D154" i="11"/>
  <c r="C154" i="11"/>
  <c r="B154" i="11"/>
  <c r="F153" i="11"/>
  <c r="E153" i="11"/>
  <c r="D153" i="11"/>
  <c r="C153" i="11"/>
  <c r="B153" i="11"/>
  <c r="F152" i="11"/>
  <c r="E152" i="11"/>
  <c r="D152" i="11"/>
  <c r="C152" i="11"/>
  <c r="B152" i="11"/>
  <c r="F151" i="11"/>
  <c r="E151" i="11"/>
  <c r="D151" i="11"/>
  <c r="C151" i="11"/>
  <c r="B151" i="11"/>
  <c r="F150" i="11"/>
  <c r="E150" i="11"/>
  <c r="D150" i="11"/>
  <c r="C150" i="11"/>
  <c r="B150" i="11"/>
  <c r="F149" i="11"/>
  <c r="E149" i="11"/>
  <c r="D149" i="11"/>
  <c r="C149" i="11"/>
  <c r="B149" i="11"/>
  <c r="F24" i="11"/>
  <c r="E24" i="11"/>
  <c r="D24" i="11"/>
  <c r="C24" i="11"/>
  <c r="B24" i="11"/>
  <c r="F148" i="11"/>
  <c r="E148" i="11"/>
  <c r="D148" i="11"/>
  <c r="C148" i="11"/>
  <c r="B148" i="11"/>
  <c r="F147" i="11"/>
  <c r="E147" i="11"/>
  <c r="D147" i="11"/>
  <c r="C147" i="11"/>
  <c r="B147" i="11"/>
  <c r="F146" i="11"/>
  <c r="E146" i="11"/>
  <c r="D146" i="11"/>
  <c r="C146" i="11"/>
  <c r="B146" i="11"/>
  <c r="F145" i="11"/>
  <c r="E145" i="11"/>
  <c r="D145" i="11"/>
  <c r="C145" i="11"/>
  <c r="B145" i="11"/>
  <c r="F144" i="11"/>
  <c r="E144" i="11"/>
  <c r="D144" i="11"/>
  <c r="C144" i="11"/>
  <c r="B144" i="11"/>
  <c r="F143" i="11"/>
  <c r="E143" i="11"/>
  <c r="D143" i="11"/>
  <c r="C143" i="11"/>
  <c r="B143" i="11"/>
  <c r="F17" i="11"/>
  <c r="E17" i="11"/>
  <c r="D17" i="11"/>
  <c r="C17" i="11"/>
  <c r="B17" i="11"/>
  <c r="F142" i="11"/>
  <c r="E142" i="11"/>
  <c r="D142" i="11"/>
  <c r="C142" i="11"/>
  <c r="B142" i="11"/>
  <c r="F141" i="11"/>
  <c r="E141" i="11"/>
  <c r="D141" i="11"/>
  <c r="C141" i="11"/>
  <c r="B141" i="11"/>
  <c r="F140" i="11"/>
  <c r="E140" i="11"/>
  <c r="D140" i="11"/>
  <c r="C140" i="11"/>
  <c r="B140" i="11"/>
  <c r="F139" i="11"/>
  <c r="E139" i="11"/>
  <c r="D139" i="11"/>
  <c r="C139" i="11"/>
  <c r="B139" i="11"/>
  <c r="F138" i="11"/>
  <c r="E138" i="11"/>
  <c r="D138" i="11"/>
  <c r="C138" i="11"/>
  <c r="B138" i="11"/>
  <c r="F137" i="11"/>
  <c r="E137" i="11"/>
  <c r="D137" i="11"/>
  <c r="C137" i="11"/>
  <c r="B137" i="11"/>
  <c r="F136" i="11"/>
  <c r="E136" i="11"/>
  <c r="D136" i="11"/>
  <c r="C136" i="11"/>
  <c r="B136" i="11"/>
  <c r="F135" i="11"/>
  <c r="E135" i="11"/>
  <c r="D135" i="11"/>
  <c r="C135" i="11"/>
  <c r="B135" i="11"/>
  <c r="F134" i="11"/>
  <c r="E134" i="11"/>
  <c r="D134" i="11"/>
  <c r="C134" i="11"/>
  <c r="B134" i="11"/>
  <c r="F133" i="11"/>
  <c r="E133" i="11"/>
  <c r="D133" i="11"/>
  <c r="C133" i="11"/>
  <c r="B133" i="11"/>
  <c r="F132" i="11"/>
  <c r="E132" i="11"/>
  <c r="D132" i="11"/>
  <c r="C132" i="11"/>
  <c r="B132" i="11"/>
  <c r="F131" i="11"/>
  <c r="E131" i="11"/>
  <c r="D131" i="11"/>
  <c r="C131" i="11"/>
  <c r="B131" i="11"/>
  <c r="F130" i="11"/>
  <c r="E130" i="11"/>
  <c r="D130" i="11"/>
  <c r="C130" i="11"/>
  <c r="B130" i="11"/>
  <c r="F129" i="11"/>
  <c r="E129" i="11"/>
  <c r="D129" i="11"/>
  <c r="C129" i="11"/>
  <c r="B129" i="11"/>
  <c r="F128" i="11"/>
  <c r="E128" i="11"/>
  <c r="D128" i="11"/>
  <c r="C128" i="11"/>
  <c r="B128" i="11"/>
  <c r="F127" i="11"/>
  <c r="E127" i="11"/>
  <c r="D127" i="11"/>
  <c r="C127" i="11"/>
  <c r="B127" i="11"/>
  <c r="F39" i="11"/>
  <c r="E39" i="11"/>
  <c r="D39" i="11"/>
  <c r="C39" i="11"/>
  <c r="B39" i="11"/>
  <c r="F126" i="11"/>
  <c r="E126" i="11"/>
  <c r="D126" i="11"/>
  <c r="C126" i="11"/>
  <c r="B126" i="11"/>
  <c r="F125" i="11"/>
  <c r="E125" i="11"/>
  <c r="D125" i="11"/>
  <c r="C125" i="11"/>
  <c r="B125" i="11"/>
  <c r="F124" i="11"/>
  <c r="E124" i="11"/>
  <c r="D124" i="11"/>
  <c r="C124" i="11"/>
  <c r="B124" i="11"/>
  <c r="F36" i="11"/>
  <c r="E36" i="11"/>
  <c r="D36" i="11"/>
  <c r="C36" i="11"/>
  <c r="B36" i="11"/>
  <c r="F123" i="11"/>
  <c r="E123" i="11"/>
  <c r="D123" i="11"/>
  <c r="C123" i="11"/>
  <c r="B123" i="11"/>
  <c r="F122" i="11"/>
  <c r="E122" i="11"/>
  <c r="D122" i="11"/>
  <c r="C122" i="11"/>
  <c r="B122" i="11"/>
  <c r="F35" i="11"/>
  <c r="E35" i="11"/>
  <c r="D35" i="11"/>
  <c r="C35" i="11"/>
  <c r="B35" i="11"/>
  <c r="F121" i="11"/>
  <c r="E121" i="11"/>
  <c r="D121" i="11"/>
  <c r="C121" i="11"/>
  <c r="B121" i="11"/>
  <c r="F120" i="11"/>
  <c r="E120" i="11"/>
  <c r="D120" i="11"/>
  <c r="C120" i="11"/>
  <c r="B120" i="11"/>
  <c r="F119" i="11"/>
  <c r="E119" i="11"/>
  <c r="D119" i="11"/>
  <c r="C119" i="11"/>
  <c r="B119" i="11"/>
  <c r="F118" i="11"/>
  <c r="E118" i="11"/>
  <c r="D118" i="11"/>
  <c r="C118" i="11"/>
  <c r="B118" i="11"/>
  <c r="F117" i="11"/>
  <c r="E117" i="11"/>
  <c r="D117" i="11"/>
  <c r="C117" i="11"/>
  <c r="B117" i="11"/>
  <c r="F116" i="11"/>
  <c r="E116" i="11"/>
  <c r="D116" i="11"/>
  <c r="C116" i="11"/>
  <c r="B116" i="11"/>
  <c r="F115" i="11"/>
  <c r="E115" i="11"/>
  <c r="D115" i="11"/>
  <c r="C115" i="11"/>
  <c r="B115" i="11"/>
  <c r="F114" i="11"/>
  <c r="E114" i="11"/>
  <c r="D114" i="11"/>
  <c r="C114" i="11"/>
  <c r="B114" i="11"/>
  <c r="F31" i="11"/>
  <c r="E31" i="11"/>
  <c r="D31" i="11"/>
  <c r="C31" i="11"/>
  <c r="B31" i="11"/>
  <c r="F113" i="11"/>
  <c r="E113" i="11"/>
  <c r="D113" i="11"/>
  <c r="C113" i="11"/>
  <c r="B113" i="11"/>
  <c r="F9" i="11"/>
  <c r="E9" i="11"/>
  <c r="D9" i="11"/>
  <c r="C9" i="11"/>
  <c r="B9" i="11"/>
  <c r="F112" i="11"/>
  <c r="E112" i="11"/>
  <c r="D112" i="11"/>
  <c r="C112" i="11"/>
  <c r="B112" i="11"/>
  <c r="F111" i="11"/>
  <c r="E111" i="11"/>
  <c r="D111" i="11"/>
  <c r="C111" i="11"/>
  <c r="B111" i="11"/>
  <c r="F110" i="11"/>
  <c r="E110" i="11"/>
  <c r="D110" i="11"/>
  <c r="C110" i="11"/>
  <c r="B110" i="11"/>
  <c r="F109" i="11"/>
  <c r="E109" i="11"/>
  <c r="D109" i="11"/>
  <c r="C109" i="11"/>
  <c r="B109" i="11"/>
  <c r="F27" i="11"/>
  <c r="E27" i="11"/>
  <c r="D27" i="11"/>
  <c r="C27" i="11"/>
  <c r="B27" i="11"/>
  <c r="F108" i="11"/>
  <c r="E108" i="11"/>
  <c r="D108" i="11"/>
  <c r="C108" i="11"/>
  <c r="B108" i="11"/>
  <c r="F107" i="11"/>
  <c r="E107" i="11"/>
  <c r="D107" i="11"/>
  <c r="C107" i="11"/>
  <c r="B107" i="11"/>
  <c r="F106" i="11"/>
  <c r="E106" i="11"/>
  <c r="D106" i="11"/>
  <c r="C106" i="11"/>
  <c r="B106" i="11"/>
  <c r="F105" i="11"/>
  <c r="E105" i="11"/>
  <c r="D105" i="11"/>
  <c r="C105" i="11"/>
  <c r="B105" i="11"/>
  <c r="F104" i="11"/>
  <c r="E104" i="11"/>
  <c r="D104" i="11"/>
  <c r="C104" i="11"/>
  <c r="B104" i="11"/>
  <c r="F103" i="11"/>
  <c r="E103" i="11"/>
  <c r="D103" i="11"/>
  <c r="C103" i="11"/>
  <c r="B103" i="11"/>
  <c r="F30" i="11"/>
  <c r="E30" i="11"/>
  <c r="D30" i="11"/>
  <c r="C30" i="11"/>
  <c r="B30" i="11"/>
  <c r="F102" i="11"/>
  <c r="E102" i="11"/>
  <c r="D102" i="11"/>
  <c r="C102" i="11"/>
  <c r="B102" i="11"/>
  <c r="F101" i="11"/>
  <c r="E101" i="11"/>
  <c r="D101" i="11"/>
  <c r="C101" i="11"/>
  <c r="B101" i="11"/>
  <c r="F100" i="11"/>
  <c r="E100" i="11"/>
  <c r="D100" i="11"/>
  <c r="C100" i="11"/>
  <c r="B100" i="11"/>
  <c r="F99" i="11"/>
  <c r="E99" i="11"/>
  <c r="D99" i="11"/>
  <c r="C99" i="11"/>
  <c r="B99" i="11"/>
  <c r="F98" i="11"/>
  <c r="E98" i="11"/>
  <c r="D98" i="11"/>
  <c r="C98" i="11"/>
  <c r="B98" i="11"/>
  <c r="F97" i="11"/>
  <c r="E97" i="11"/>
  <c r="D97" i="11"/>
  <c r="C97" i="11"/>
  <c r="B97" i="11"/>
  <c r="F96" i="11"/>
  <c r="E96" i="11"/>
  <c r="D96" i="11"/>
  <c r="C96" i="11"/>
  <c r="B96" i="11"/>
  <c r="F95" i="11"/>
  <c r="E95" i="11"/>
  <c r="D95" i="11"/>
  <c r="C95" i="11"/>
  <c r="B95" i="11"/>
  <c r="F94" i="11"/>
  <c r="E94" i="11"/>
  <c r="D94" i="11"/>
  <c r="C94" i="11"/>
  <c r="B94" i="11"/>
  <c r="F93" i="11"/>
  <c r="E93" i="11"/>
  <c r="D93" i="11"/>
  <c r="C93" i="11"/>
  <c r="B93" i="11"/>
  <c r="F12" i="11"/>
  <c r="E12" i="11"/>
  <c r="D12" i="11"/>
  <c r="C12" i="11"/>
  <c r="B12" i="11"/>
  <c r="F14" i="11"/>
  <c r="E14" i="11"/>
  <c r="D14" i="11"/>
  <c r="C14" i="11"/>
  <c r="B14" i="11"/>
  <c r="F92" i="11"/>
  <c r="E92" i="11"/>
  <c r="D92" i="11"/>
  <c r="C92" i="11"/>
  <c r="B92" i="11"/>
  <c r="F47" i="11"/>
  <c r="E47" i="11"/>
  <c r="D47" i="11"/>
  <c r="C47" i="11"/>
  <c r="B47" i="11"/>
  <c r="F91" i="11"/>
  <c r="E91" i="11"/>
  <c r="D91" i="11"/>
  <c r="C91" i="11"/>
  <c r="B91" i="11"/>
  <c r="F90" i="11"/>
  <c r="E90" i="11"/>
  <c r="D90" i="11"/>
  <c r="C90" i="11"/>
  <c r="B90" i="11"/>
  <c r="F89" i="11"/>
  <c r="E89" i="11"/>
  <c r="D89" i="11"/>
  <c r="C89" i="11"/>
  <c r="B89" i="11"/>
  <c r="F88" i="11"/>
  <c r="E88" i="11"/>
  <c r="D88" i="11"/>
  <c r="C88" i="11"/>
  <c r="B88" i="11"/>
  <c r="F48" i="11"/>
  <c r="E48" i="11"/>
  <c r="D48" i="11"/>
  <c r="C48" i="11"/>
  <c r="B48" i="11"/>
  <c r="F87" i="11"/>
  <c r="E87" i="11"/>
  <c r="D87" i="11"/>
  <c r="C87" i="11"/>
  <c r="B87" i="11"/>
  <c r="F86" i="11"/>
  <c r="E86" i="11"/>
  <c r="D86" i="11"/>
  <c r="C86" i="11"/>
  <c r="B86" i="11"/>
  <c r="F85" i="11"/>
  <c r="E85" i="11"/>
  <c r="D85" i="11"/>
  <c r="C85" i="11"/>
  <c r="B85" i="11"/>
  <c r="F84" i="11"/>
  <c r="E84" i="11"/>
  <c r="D84" i="11"/>
  <c r="C84" i="11"/>
  <c r="B84" i="11"/>
  <c r="F83" i="11"/>
  <c r="E83" i="11"/>
  <c r="D83" i="11"/>
  <c r="C83" i="11"/>
  <c r="B83" i="11"/>
  <c r="F23" i="11"/>
  <c r="E23" i="11"/>
  <c r="D23" i="11"/>
  <c r="C23" i="11"/>
  <c r="B23" i="11"/>
  <c r="F38" i="11"/>
  <c r="E38" i="11"/>
  <c r="D38" i="11"/>
  <c r="C38" i="11"/>
  <c r="B38" i="11"/>
  <c r="F22" i="11"/>
  <c r="E22" i="11"/>
  <c r="D22" i="11"/>
  <c r="C22" i="11"/>
  <c r="B22" i="11"/>
  <c r="F82" i="11"/>
  <c r="E82" i="11"/>
  <c r="D82" i="11"/>
  <c r="C82" i="11"/>
  <c r="B82" i="11"/>
  <c r="F81" i="11"/>
  <c r="E81" i="11"/>
  <c r="D81" i="11"/>
  <c r="C81" i="11"/>
  <c r="B81" i="11"/>
  <c r="F80" i="11"/>
  <c r="E80" i="11"/>
  <c r="D80" i="11"/>
  <c r="C80" i="11"/>
  <c r="B80" i="11"/>
  <c r="F79" i="11"/>
  <c r="E79" i="11"/>
  <c r="D79" i="11"/>
  <c r="C79" i="11"/>
  <c r="B79" i="11"/>
  <c r="F19" i="11"/>
  <c r="E19" i="11"/>
  <c r="D19" i="11"/>
  <c r="C19" i="11"/>
  <c r="B19" i="11"/>
  <c r="F21" i="11"/>
  <c r="E21" i="11"/>
  <c r="D21" i="11"/>
  <c r="C21" i="11"/>
  <c r="B21" i="11"/>
  <c r="F78" i="11"/>
  <c r="E78" i="11"/>
  <c r="D78" i="11"/>
  <c r="C78" i="11"/>
  <c r="B78" i="11"/>
  <c r="F77" i="11"/>
  <c r="E77" i="11"/>
  <c r="D77" i="11"/>
  <c r="C77" i="11"/>
  <c r="B77" i="11"/>
  <c r="F76" i="11"/>
  <c r="E76" i="11"/>
  <c r="D76" i="11"/>
  <c r="C76" i="11"/>
  <c r="B76" i="11"/>
  <c r="F75" i="11"/>
  <c r="E75" i="11"/>
  <c r="D75" i="11"/>
  <c r="C75" i="11"/>
  <c r="B75" i="11"/>
  <c r="F74" i="11"/>
  <c r="E74" i="11"/>
  <c r="D74" i="11"/>
  <c r="C74" i="11"/>
  <c r="B74" i="11"/>
  <c r="F73" i="11"/>
  <c r="E73" i="11"/>
  <c r="D73" i="11"/>
  <c r="C73" i="11"/>
  <c r="B73" i="11"/>
  <c r="F72" i="11"/>
  <c r="E72" i="11"/>
  <c r="D72" i="11"/>
  <c r="C72" i="11"/>
  <c r="B72" i="11"/>
  <c r="F71" i="11"/>
  <c r="E71" i="11"/>
  <c r="D71" i="11"/>
  <c r="C71" i="11"/>
  <c r="B71" i="11"/>
  <c r="F26" i="11"/>
  <c r="E26" i="11"/>
  <c r="D26" i="11"/>
  <c r="C26" i="11"/>
  <c r="B26" i="11"/>
  <c r="F37" i="11"/>
  <c r="E37" i="11"/>
  <c r="D37" i="11"/>
  <c r="C37" i="11"/>
  <c r="B37" i="11"/>
  <c r="F70" i="11"/>
  <c r="E70" i="11"/>
  <c r="D70" i="11"/>
  <c r="C70" i="11"/>
  <c r="B70" i="11"/>
  <c r="F69" i="11"/>
  <c r="E69" i="11"/>
  <c r="D69" i="11"/>
  <c r="C69" i="11"/>
  <c r="B69" i="11"/>
  <c r="F68" i="11"/>
  <c r="E68" i="11"/>
  <c r="D68" i="11"/>
  <c r="C68" i="11"/>
  <c r="B68" i="11"/>
  <c r="F10" i="11"/>
  <c r="E10" i="11"/>
  <c r="D10" i="11"/>
  <c r="C10" i="11"/>
  <c r="B10" i="11"/>
  <c r="F67" i="11"/>
  <c r="E67" i="11"/>
  <c r="D67" i="11"/>
  <c r="C67" i="11"/>
  <c r="B67" i="11"/>
  <c r="F66" i="11"/>
  <c r="E66" i="11"/>
  <c r="D66" i="11"/>
  <c r="C66" i="11"/>
  <c r="B66" i="11"/>
  <c r="F65" i="11"/>
  <c r="E65" i="11"/>
  <c r="D65" i="11"/>
  <c r="C65" i="11"/>
  <c r="B65" i="11"/>
  <c r="F64" i="11"/>
  <c r="E64" i="11"/>
  <c r="D64" i="11"/>
  <c r="C64" i="11"/>
  <c r="B64" i="11"/>
  <c r="F63" i="11"/>
  <c r="E63" i="11"/>
  <c r="D63" i="11"/>
  <c r="C63" i="11"/>
  <c r="B63" i="11"/>
  <c r="F62" i="11"/>
  <c r="E62" i="11"/>
  <c r="D62" i="11"/>
  <c r="C62" i="11"/>
  <c r="B62" i="11"/>
  <c r="F61" i="11"/>
  <c r="E61" i="11"/>
  <c r="D61" i="11"/>
  <c r="C61" i="11"/>
  <c r="B61" i="11"/>
  <c r="F13" i="11"/>
  <c r="E13" i="11"/>
  <c r="D13" i="11"/>
  <c r="C13" i="11"/>
  <c r="B13" i="11"/>
  <c r="F60" i="11"/>
  <c r="E60" i="11"/>
  <c r="D60" i="11"/>
  <c r="C60" i="11"/>
  <c r="B60" i="11"/>
  <c r="F59" i="11"/>
  <c r="E59" i="11"/>
  <c r="D59" i="11"/>
  <c r="C59" i="11"/>
  <c r="B59" i="11"/>
  <c r="F58" i="11"/>
  <c r="E58" i="11"/>
  <c r="D58" i="11"/>
  <c r="C58" i="11"/>
  <c r="B58" i="11"/>
  <c r="F57" i="11"/>
  <c r="E57" i="11"/>
  <c r="D57" i="11"/>
  <c r="C57" i="11"/>
  <c r="B57" i="11"/>
  <c r="F56" i="11"/>
  <c r="E56" i="11"/>
  <c r="D56" i="11"/>
  <c r="C56" i="11"/>
  <c r="B56" i="11"/>
  <c r="F55" i="11"/>
  <c r="E55" i="11"/>
  <c r="D55" i="11"/>
  <c r="C55" i="11"/>
  <c r="B55" i="11"/>
  <c r="F54" i="11"/>
  <c r="E54" i="11"/>
  <c r="D54" i="11"/>
  <c r="C54" i="11"/>
  <c r="B54" i="11"/>
  <c r="F53" i="11"/>
  <c r="E53" i="11"/>
  <c r="D53" i="11"/>
  <c r="C53" i="11"/>
  <c r="B53" i="11"/>
  <c r="F33" i="11"/>
  <c r="E33" i="11"/>
  <c r="D33" i="11"/>
  <c r="C33" i="11"/>
  <c r="B33" i="11"/>
  <c r="F28" i="11"/>
  <c r="E28" i="11"/>
  <c r="D28" i="11"/>
  <c r="C28" i="11"/>
  <c r="B28" i="11"/>
  <c r="F25" i="11"/>
  <c r="E25" i="11"/>
  <c r="D25" i="11"/>
  <c r="C25" i="11"/>
  <c r="B25" i="11"/>
  <c r="F16" i="11"/>
  <c r="E16" i="11"/>
  <c r="D16" i="11"/>
  <c r="C16" i="11"/>
  <c r="B16" i="11"/>
  <c r="F52" i="11"/>
  <c r="E52" i="11"/>
  <c r="D52" i="11"/>
  <c r="C52" i="11"/>
  <c r="B52" i="11"/>
  <c r="F11" i="11"/>
  <c r="E11" i="11"/>
  <c r="D11" i="11"/>
  <c r="C11" i="11"/>
  <c r="B11" i="11"/>
  <c r="F51" i="11"/>
  <c r="E51" i="11"/>
  <c r="D51" i="11"/>
  <c r="C51" i="11"/>
  <c r="B51" i="11"/>
  <c r="F15" i="11"/>
  <c r="E15" i="11"/>
  <c r="D15" i="11"/>
  <c r="C15" i="11"/>
  <c r="B15" i="11"/>
  <c r="F20" i="11"/>
  <c r="E20" i="11"/>
  <c r="D20" i="11"/>
  <c r="C20" i="11"/>
  <c r="B20" i="11"/>
  <c r="F50" i="11"/>
  <c r="E50" i="11"/>
  <c r="D50" i="11"/>
  <c r="C50" i="11"/>
  <c r="B50" i="11"/>
  <c r="F49" i="11"/>
  <c r="E49" i="11"/>
  <c r="D49" i="11"/>
  <c r="C49" i="11"/>
  <c r="B49" i="11"/>
  <c r="F6" i="11"/>
  <c r="E6" i="11"/>
  <c r="D6" i="11"/>
  <c r="C6" i="11"/>
  <c r="F4" i="11"/>
  <c r="E4" i="11"/>
  <c r="D4" i="11"/>
  <c r="C4" i="11"/>
  <c r="B4" i="11"/>
  <c r="C28" i="10"/>
  <c r="G27" i="10"/>
  <c r="G26" i="10"/>
  <c r="G25" i="10"/>
  <c r="G24" i="10"/>
  <c r="G23" i="10"/>
  <c r="G22" i="10"/>
  <c r="G21" i="10"/>
  <c r="G20" i="10"/>
  <c r="G19" i="10"/>
  <c r="G18" i="10"/>
  <c r="G17" i="10"/>
  <c r="G16" i="10"/>
  <c r="G15" i="10"/>
  <c r="G14" i="10"/>
  <c r="G13" i="10"/>
  <c r="G12" i="10"/>
  <c r="G11" i="10"/>
  <c r="G10" i="10"/>
  <c r="G9" i="10"/>
  <c r="G8" i="10"/>
  <c r="G7" i="10"/>
  <c r="G6" i="10"/>
  <c r="G5" i="10"/>
  <c r="G4" i="10"/>
  <c r="G3" i="10"/>
  <c r="G2" i="10"/>
  <c r="G28" i="10" s="1"/>
  <c r="F134" i="9"/>
  <c r="F133" i="9"/>
  <c r="F132" i="9"/>
  <c r="F131" i="9"/>
  <c r="F130" i="9"/>
  <c r="F129" i="9"/>
  <c r="F128" i="9"/>
  <c r="F127" i="9"/>
  <c r="F126" i="9"/>
  <c r="F125" i="9"/>
  <c r="F124" i="9"/>
  <c r="F123" i="9"/>
  <c r="F122" i="9"/>
  <c r="F121" i="9"/>
  <c r="F120" i="9"/>
  <c r="F119" i="9"/>
  <c r="F118" i="9"/>
  <c r="F116" i="9"/>
  <c r="F115" i="9"/>
  <c r="F114" i="9"/>
  <c r="F113" i="9"/>
  <c r="F112" i="9"/>
  <c r="F111" i="9"/>
  <c r="F110" i="9"/>
  <c r="F109" i="9"/>
  <c r="F108" i="9"/>
  <c r="F107" i="9"/>
  <c r="F106" i="9"/>
  <c r="F105" i="9"/>
  <c r="F104" i="9"/>
  <c r="F103" i="9"/>
  <c r="F102" i="9"/>
  <c r="F101" i="9"/>
  <c r="F100" i="9"/>
  <c r="F99" i="9"/>
  <c r="F98" i="9"/>
  <c r="F97" i="9"/>
  <c r="F96" i="9"/>
  <c r="F95" i="9"/>
  <c r="F94" i="9"/>
  <c r="F93" i="9"/>
  <c r="F92" i="9"/>
  <c r="F90" i="9"/>
  <c r="F89" i="9"/>
  <c r="F88" i="9"/>
  <c r="F87" i="9"/>
  <c r="F86" i="9"/>
  <c r="F85" i="9"/>
  <c r="F84" i="9"/>
  <c r="F83" i="9"/>
  <c r="F82" i="9"/>
  <c r="F81" i="9"/>
  <c r="F80" i="9"/>
  <c r="F79" i="9"/>
  <c r="F78" i="9"/>
  <c r="F77" i="9"/>
  <c r="F76" i="9"/>
  <c r="F75" i="9"/>
  <c r="F74" i="9"/>
  <c r="F73" i="9"/>
  <c r="F72" i="9"/>
  <c r="F71" i="9"/>
  <c r="F70" i="9"/>
  <c r="F69" i="9"/>
  <c r="F68" i="9"/>
  <c r="F67" i="9"/>
  <c r="F66" i="9"/>
  <c r="F65" i="9"/>
  <c r="F64" i="9"/>
  <c r="F63" i="9"/>
  <c r="F62" i="9"/>
  <c r="F61" i="9"/>
  <c r="F60" i="9"/>
  <c r="F59" i="9"/>
  <c r="F58" i="9"/>
  <c r="F57" i="9"/>
  <c r="F56" i="9"/>
  <c r="F55" i="9"/>
  <c r="F54" i="9"/>
  <c r="F53" i="9"/>
  <c r="F52" i="9"/>
  <c r="F51" i="9"/>
  <c r="F50" i="9"/>
  <c r="F49" i="9"/>
  <c r="F48" i="9"/>
  <c r="F47" i="9"/>
  <c r="F46" i="9"/>
  <c r="F45" i="9"/>
  <c r="F43" i="9"/>
  <c r="F42" i="9"/>
  <c r="F41" i="9"/>
  <c r="F40" i="9"/>
  <c r="F39" i="9"/>
  <c r="F38" i="9"/>
  <c r="F37" i="9"/>
  <c r="F35" i="9"/>
  <c r="F34" i="9"/>
  <c r="F33" i="9"/>
  <c r="B15" i="9"/>
  <c r="B16" i="9" s="1"/>
  <c r="C7" i="9"/>
  <c r="C6" i="9"/>
  <c r="C5" i="9"/>
  <c r="G6" i="12" l="1"/>
  <c r="G45" i="15"/>
  <c r="G12" i="15"/>
  <c r="G54" i="15"/>
  <c r="G90" i="15"/>
  <c r="G162" i="15"/>
  <c r="G32" i="15"/>
  <c r="G48" i="12"/>
  <c r="G49" i="12"/>
  <c r="G16" i="12"/>
  <c r="G87" i="12"/>
  <c r="G52" i="12"/>
  <c r="G62" i="12"/>
  <c r="G18" i="12"/>
  <c r="G88" i="12"/>
  <c r="G107" i="12"/>
  <c r="G114" i="12"/>
  <c r="G123" i="12"/>
  <c r="G137" i="12"/>
  <c r="G152" i="12"/>
  <c r="G166" i="12"/>
  <c r="G179" i="12"/>
  <c r="G45" i="12"/>
  <c r="G81" i="12"/>
  <c r="G100" i="12"/>
  <c r="G155" i="12"/>
  <c r="G178" i="12"/>
  <c r="G119" i="12"/>
  <c r="G12" i="12"/>
  <c r="G174" i="12"/>
  <c r="G46" i="15"/>
  <c r="G41" i="15"/>
  <c r="G55" i="15"/>
  <c r="G62" i="15"/>
  <c r="G67" i="15"/>
  <c r="G37" i="15"/>
  <c r="G13" i="15"/>
  <c r="G84" i="15"/>
  <c r="G89" i="15"/>
  <c r="G97" i="15"/>
  <c r="G25" i="15"/>
  <c r="G109" i="15"/>
  <c r="G20" i="15"/>
  <c r="G143" i="15"/>
  <c r="G155" i="15"/>
  <c r="G161" i="15"/>
  <c r="G168" i="15"/>
  <c r="G6" i="15"/>
  <c r="G180" i="15"/>
  <c r="G64" i="12"/>
  <c r="G145" i="12"/>
  <c r="G17" i="12"/>
  <c r="G20" i="12"/>
  <c r="G59" i="12"/>
  <c r="G48" i="15"/>
  <c r="G52" i="15"/>
  <c r="G59" i="15"/>
  <c r="G72" i="15"/>
  <c r="G77" i="15"/>
  <c r="G15" i="15"/>
  <c r="G94" i="15"/>
  <c r="G101" i="15"/>
  <c r="G4" i="15"/>
  <c r="G120" i="15"/>
  <c r="G127" i="15"/>
  <c r="G135" i="15"/>
  <c r="G141" i="15"/>
  <c r="G148" i="15"/>
  <c r="G153" i="15"/>
  <c r="G158" i="15"/>
  <c r="G40" i="15"/>
  <c r="G172" i="15"/>
  <c r="G177" i="15"/>
  <c r="G10" i="15"/>
  <c r="G49" i="15"/>
  <c r="G7" i="15"/>
  <c r="G3" i="15"/>
  <c r="G69" i="15"/>
  <c r="G75" i="15"/>
  <c r="G79" i="15"/>
  <c r="G86" i="15"/>
  <c r="G91" i="15"/>
  <c r="G98" i="15"/>
  <c r="G105" i="15"/>
  <c r="G111" i="15"/>
  <c r="G118" i="15"/>
  <c r="G124" i="15"/>
  <c r="G132" i="15"/>
  <c r="G138" i="15"/>
  <c r="G145" i="15"/>
  <c r="G150" i="15"/>
  <c r="G156" i="15"/>
  <c r="G163" i="15"/>
  <c r="G170" i="15"/>
  <c r="G44" i="15"/>
  <c r="G69" i="12"/>
  <c r="G44" i="12"/>
  <c r="G101" i="12"/>
  <c r="G111" i="12"/>
  <c r="G120" i="12"/>
  <c r="G133" i="12"/>
  <c r="G147" i="12"/>
  <c r="G162" i="12"/>
  <c r="G173" i="12"/>
  <c r="G34" i="12"/>
  <c r="G76" i="12"/>
  <c r="G93" i="12"/>
  <c r="G148" i="12"/>
  <c r="G169" i="12"/>
  <c r="G97" i="12"/>
  <c r="G128" i="12"/>
  <c r="G39" i="12"/>
  <c r="G30" i="12"/>
  <c r="G71" i="12"/>
  <c r="G43" i="12"/>
  <c r="G164" i="12"/>
  <c r="G55" i="12"/>
  <c r="G66" i="12"/>
  <c r="G75" i="12"/>
  <c r="G92" i="12"/>
  <c r="G19" i="12"/>
  <c r="G31" i="12"/>
  <c r="G125" i="12"/>
  <c r="G141" i="12"/>
  <c r="G157" i="12"/>
  <c r="G168" i="12"/>
  <c r="G28" i="12"/>
  <c r="G57" i="12"/>
  <c r="G85" i="12"/>
  <c r="G106" i="12"/>
  <c r="G156" i="12"/>
  <c r="G83" i="12"/>
  <c r="G14" i="12"/>
  <c r="G27" i="12"/>
  <c r="G66" i="15"/>
  <c r="G82" i="15"/>
  <c r="G106" i="15"/>
  <c r="G114" i="15"/>
  <c r="G33" i="15"/>
  <c r="G122" i="15"/>
  <c r="G130" i="15"/>
  <c r="G146" i="15"/>
  <c r="G16" i="15"/>
  <c r="G178" i="15"/>
  <c r="G83" i="15"/>
  <c r="G88" i="15"/>
  <c r="G96" i="15"/>
  <c r="G103" i="15"/>
  <c r="G8" i="15"/>
  <c r="G116" i="15"/>
  <c r="G28" i="15"/>
  <c r="G129" i="15"/>
  <c r="G160" i="15"/>
  <c r="G167" i="15"/>
  <c r="G174" i="15"/>
  <c r="G179" i="15"/>
  <c r="G7" i="12"/>
  <c r="G144" i="12"/>
  <c r="G4" i="12"/>
  <c r="G9" i="12"/>
  <c r="G58" i="12"/>
  <c r="G68" i="12"/>
  <c r="G78" i="12"/>
  <c r="G99" i="12"/>
  <c r="G110" i="12"/>
  <c r="G118" i="12"/>
  <c r="G131" i="12"/>
  <c r="G143" i="12"/>
  <c r="G161" i="12"/>
  <c r="G172" i="12"/>
  <c r="G33" i="12"/>
  <c r="G73" i="12"/>
  <c r="G91" i="12"/>
  <c r="G132" i="12"/>
  <c r="G163" i="12"/>
  <c r="G80" i="12"/>
  <c r="G127" i="12"/>
  <c r="G37" i="12"/>
  <c r="G14" i="15"/>
  <c r="G51" i="15"/>
  <c r="G65" i="15"/>
  <c r="G71" i="15"/>
  <c r="G76" i="15"/>
  <c r="G81" i="15"/>
  <c r="G87" i="15"/>
  <c r="G93" i="15"/>
  <c r="G100" i="15"/>
  <c r="G107" i="15"/>
  <c r="G113" i="15"/>
  <c r="G119" i="15"/>
  <c r="G126" i="15"/>
  <c r="G134" i="15"/>
  <c r="G140" i="15"/>
  <c r="G147" i="15"/>
  <c r="G152" i="15"/>
  <c r="G157" i="15"/>
  <c r="G165" i="15"/>
  <c r="G36" i="15"/>
  <c r="G176" i="15"/>
  <c r="G13" i="12"/>
  <c r="G151" i="12"/>
  <c r="G50" i="12"/>
  <c r="G42" i="12"/>
  <c r="G136" i="12"/>
  <c r="G40" i="12"/>
  <c r="G5" i="12"/>
  <c r="G51" i="12"/>
  <c r="G54" i="12"/>
  <c r="G61" i="12"/>
  <c r="G63" i="12"/>
  <c r="G10" i="12"/>
  <c r="G90" i="12"/>
  <c r="G108" i="12"/>
  <c r="G116" i="12"/>
  <c r="G124" i="12"/>
  <c r="G140" i="12"/>
  <c r="G153" i="12"/>
  <c r="G167" i="12"/>
  <c r="G180" i="12"/>
  <c r="G53" i="12"/>
  <c r="G82" i="12"/>
  <c r="G103" i="12"/>
  <c r="G36" i="12"/>
  <c r="G181" i="12"/>
  <c r="G121" i="12"/>
  <c r="G41" i="12"/>
  <c r="G15" i="12"/>
  <c r="G17" i="15"/>
  <c r="G38" i="15"/>
  <c r="G56" i="15"/>
  <c r="G63" i="15"/>
  <c r="G68" i="15"/>
  <c r="G9" i="15"/>
  <c r="G78" i="15"/>
  <c r="G85" i="15"/>
  <c r="G23" i="15"/>
  <c r="G104" i="15"/>
  <c r="G110" i="15"/>
  <c r="G117" i="15"/>
  <c r="G123" i="15"/>
  <c r="G131" i="15"/>
  <c r="G137" i="15"/>
  <c r="G144" i="15"/>
  <c r="G42" i="15"/>
  <c r="G34" i="15"/>
  <c r="G169" i="15"/>
  <c r="G181" i="15"/>
  <c r="G65" i="12"/>
  <c r="G146" i="12"/>
  <c r="G8" i="12"/>
  <c r="G29" i="12"/>
  <c r="G60" i="12"/>
  <c r="G70" i="12"/>
  <c r="G84" i="12"/>
  <c r="G102" i="12"/>
  <c r="G112" i="12"/>
  <c r="G35" i="12"/>
  <c r="G134" i="12"/>
  <c r="G24" i="12"/>
  <c r="G165" i="12"/>
  <c r="G176" i="12"/>
  <c r="G22" i="12"/>
  <c r="G77" i="12"/>
  <c r="G95" i="12"/>
  <c r="G149" i="12"/>
  <c r="G170" i="12"/>
  <c r="G25" i="12"/>
  <c r="G139" i="12"/>
  <c r="G130" i="12"/>
  <c r="G53" i="15"/>
  <c r="G60" i="15"/>
  <c r="G24" i="15"/>
  <c r="G73" i="15"/>
  <c r="G11" i="15"/>
  <c r="G43" i="15"/>
  <c r="G5" i="15"/>
  <c r="G95" i="15"/>
  <c r="G102" i="15"/>
  <c r="G108" i="15"/>
  <c r="G115" i="15"/>
  <c r="G121" i="15"/>
  <c r="G128" i="15"/>
  <c r="G136" i="15"/>
  <c r="G142" i="15"/>
  <c r="G149" i="15"/>
  <c r="G31" i="15"/>
  <c r="G159" i="15"/>
  <c r="G166" i="15"/>
  <c r="G173" i="15"/>
  <c r="G3" i="12"/>
  <c r="G138" i="12"/>
  <c r="G11" i="12"/>
  <c r="G46" i="12"/>
  <c r="G56" i="12"/>
  <c r="G67" i="12"/>
  <c r="G74" i="12"/>
  <c r="G26" i="12"/>
  <c r="G86" i="12"/>
  <c r="G94" i="12"/>
  <c r="G105" i="12"/>
  <c r="G109" i="12"/>
  <c r="G113" i="12"/>
  <c r="G117" i="12"/>
  <c r="G122" i="12"/>
  <c r="G126" i="12"/>
  <c r="G135" i="12"/>
  <c r="G142" i="12"/>
  <c r="G150" i="12"/>
  <c r="G159" i="12"/>
  <c r="G32" i="12"/>
  <c r="G171" i="12"/>
  <c r="G177" i="12"/>
  <c r="G23" i="12"/>
  <c r="G104" i="12"/>
  <c r="G72" i="12"/>
  <c r="G79" i="12"/>
  <c r="G89" i="12"/>
  <c r="G96" i="12"/>
  <c r="G129" i="12"/>
  <c r="G154" i="12"/>
  <c r="G160" i="12"/>
  <c r="G175" i="12"/>
  <c r="G115" i="12"/>
  <c r="G98" i="12"/>
  <c r="G47" i="12"/>
  <c r="G21" i="12"/>
  <c r="G38" i="12"/>
  <c r="G158" i="12"/>
  <c r="G47" i="15"/>
  <c r="G26" i="15"/>
  <c r="G50" i="15"/>
  <c r="G57" i="15"/>
  <c r="G58" i="15"/>
  <c r="G64" i="15"/>
  <c r="G70" i="15"/>
  <c r="G74" i="15"/>
  <c r="G29" i="15"/>
  <c r="G80" i="15"/>
  <c r="G35" i="15"/>
  <c r="G92" i="15"/>
  <c r="G99" i="15"/>
  <c r="G112" i="15"/>
  <c r="G39" i="15"/>
  <c r="G125" i="15"/>
  <c r="G133" i="15"/>
  <c r="G139" i="15"/>
  <c r="G151" i="15"/>
  <c r="G27" i="15"/>
  <c r="G164" i="15"/>
  <c r="G171" i="15"/>
  <c r="G175" i="15"/>
  <c r="G7" i="11"/>
  <c r="E7" i="18"/>
  <c r="F7" i="18"/>
  <c r="BX62" i="19"/>
  <c r="J5" i="16"/>
  <c r="K8" i="16"/>
  <c r="G107" i="11"/>
  <c r="G133" i="11"/>
  <c r="H5" i="16"/>
  <c r="J8" i="16"/>
  <c r="CD170" i="19"/>
  <c r="J4" i="16"/>
  <c r="I9" i="16"/>
  <c r="CD131" i="19"/>
  <c r="CD40" i="19"/>
  <c r="H4" i="16"/>
  <c r="I3" i="16"/>
  <c r="H8" i="16"/>
  <c r="K9" i="16"/>
  <c r="CD169" i="19"/>
  <c r="CD18" i="19"/>
  <c r="G184" i="11"/>
  <c r="J10" i="16"/>
  <c r="K7" i="16"/>
  <c r="G112" i="11"/>
  <c r="G114" i="11"/>
  <c r="G126" i="11"/>
  <c r="G29" i="11"/>
  <c r="K5" i="16"/>
  <c r="H7" i="16"/>
  <c r="D8" i="18"/>
  <c r="G74" i="11"/>
  <c r="G104" i="11"/>
  <c r="G140" i="11"/>
  <c r="G152" i="11"/>
  <c r="F2" i="15"/>
  <c r="I4" i="16"/>
  <c r="E8" i="18"/>
  <c r="CD199" i="19"/>
  <c r="CD136" i="19"/>
  <c r="D2" i="12"/>
  <c r="E2" i="12"/>
  <c r="B2" i="14"/>
  <c r="H3" i="16"/>
  <c r="K4" i="16"/>
  <c r="H6" i="16"/>
  <c r="H9" i="16"/>
  <c r="K10" i="16"/>
  <c r="CD39" i="19"/>
  <c r="CD267" i="19"/>
  <c r="CD302" i="19"/>
  <c r="G105" i="11"/>
  <c r="G171" i="11"/>
  <c r="G45" i="11"/>
  <c r="D2" i="15"/>
  <c r="K3" i="16"/>
  <c r="J6" i="16"/>
  <c r="CD295" i="19"/>
  <c r="G64" i="11"/>
  <c r="G148" i="11"/>
  <c r="G155" i="11"/>
  <c r="G179" i="11"/>
  <c r="G187" i="11"/>
  <c r="G6" i="11"/>
  <c r="G37" i="11"/>
  <c r="G77" i="11"/>
  <c r="G22" i="11"/>
  <c r="G48" i="11"/>
  <c r="G12" i="11"/>
  <c r="G131" i="11"/>
  <c r="G164" i="11"/>
  <c r="F2" i="12"/>
  <c r="J7" i="16"/>
  <c r="J9" i="16"/>
  <c r="CD303" i="19"/>
  <c r="CD141" i="19"/>
  <c r="CD200" i="19"/>
  <c r="CD23" i="19"/>
  <c r="CD260" i="19"/>
  <c r="CD55" i="19"/>
  <c r="CD22" i="19"/>
  <c r="CD104" i="19"/>
  <c r="CD163" i="19"/>
  <c r="CD203" i="19"/>
  <c r="CD116" i="19"/>
  <c r="G16" i="11"/>
  <c r="G69" i="11"/>
  <c r="G113" i="11"/>
  <c r="G120" i="11"/>
  <c r="G139" i="11"/>
  <c r="G146" i="11"/>
  <c r="G153" i="11"/>
  <c r="CD259" i="19"/>
  <c r="CD307" i="19"/>
  <c r="CD173" i="19"/>
  <c r="CD21" i="19"/>
  <c r="CD201" i="19"/>
  <c r="CD304" i="19"/>
  <c r="G86" i="11"/>
  <c r="G57" i="11"/>
  <c r="G21" i="11"/>
  <c r="G158" i="11"/>
  <c r="C2" i="12"/>
  <c r="B2" i="15"/>
  <c r="E2" i="15"/>
  <c r="I6" i="16"/>
  <c r="CD20" i="19"/>
  <c r="CD311" i="19"/>
  <c r="CD125" i="19"/>
  <c r="CD58" i="19"/>
  <c r="CD126" i="19"/>
  <c r="I7" i="16"/>
  <c r="I8" i="16"/>
  <c r="CD57" i="19"/>
  <c r="CD60" i="19"/>
  <c r="CD305" i="19"/>
  <c r="CD129" i="19"/>
  <c r="CD198" i="19"/>
  <c r="G58" i="11"/>
  <c r="G13" i="11"/>
  <c r="G100" i="11"/>
  <c r="G9" i="11"/>
  <c r="G36" i="11"/>
  <c r="G141" i="11"/>
  <c r="G163" i="11"/>
  <c r="G182" i="11"/>
  <c r="B2" i="12"/>
  <c r="I5" i="16"/>
  <c r="CD151" i="19"/>
  <c r="CD99" i="19"/>
  <c r="CD45" i="19"/>
  <c r="CD135" i="19"/>
  <c r="CD265" i="19"/>
  <c r="CD264" i="19"/>
  <c r="G17" i="11"/>
  <c r="G165" i="11"/>
  <c r="G172" i="11"/>
  <c r="K6" i="16"/>
  <c r="CD100" i="19"/>
  <c r="CD204" i="19"/>
  <c r="CD197" i="19"/>
  <c r="CD59" i="19"/>
  <c r="C2" i="15"/>
  <c r="J3" i="16"/>
  <c r="F8" i="18"/>
  <c r="CD56" i="19"/>
  <c r="CD212" i="19"/>
  <c r="CD138" i="19"/>
  <c r="CD139" i="19"/>
  <c r="CD292" i="19"/>
  <c r="G95" i="11"/>
  <c r="G118" i="11"/>
  <c r="G124" i="11"/>
  <c r="G167" i="11"/>
  <c r="B8" i="18"/>
  <c r="C8" i="18"/>
  <c r="C7" i="18"/>
  <c r="B7" i="18"/>
  <c r="B10" i="17"/>
  <c r="F10" i="17" s="1"/>
  <c r="D2" i="14"/>
  <c r="C2" i="14"/>
  <c r="F2" i="14"/>
  <c r="E2" i="14"/>
  <c r="G65" i="11"/>
  <c r="G10" i="11"/>
  <c r="G80" i="11"/>
  <c r="G82" i="11"/>
  <c r="G23" i="11"/>
  <c r="G92" i="11"/>
  <c r="G30" i="11"/>
  <c r="G108" i="11"/>
  <c r="G110" i="11"/>
  <c r="G117" i="11"/>
  <c r="G128" i="11"/>
  <c r="G134" i="11"/>
  <c r="G137" i="11"/>
  <c r="G145" i="11"/>
  <c r="G43" i="11"/>
  <c r="G160" i="11"/>
  <c r="G162" i="11"/>
  <c r="G170" i="11"/>
  <c r="G44" i="11"/>
  <c r="G185" i="11"/>
  <c r="D3" i="11"/>
  <c r="D5" i="11" s="1"/>
  <c r="G11" i="11"/>
  <c r="G26" i="11"/>
  <c r="G73" i="11"/>
  <c r="G85" i="11"/>
  <c r="G87" i="11"/>
  <c r="G89" i="11"/>
  <c r="G98" i="11"/>
  <c r="G119" i="11"/>
  <c r="G35" i="11"/>
  <c r="G147" i="11"/>
  <c r="G149" i="11"/>
  <c r="G34" i="11"/>
  <c r="G174" i="11"/>
  <c r="G55" i="11"/>
  <c r="G78" i="11"/>
  <c r="G79" i="11"/>
  <c r="G47" i="11"/>
  <c r="G14" i="11"/>
  <c r="G94" i="11"/>
  <c r="G109" i="11"/>
  <c r="G31" i="11"/>
  <c r="G116" i="11"/>
  <c r="G136" i="11"/>
  <c r="G142" i="11"/>
  <c r="G144" i="11"/>
  <c r="G40" i="11"/>
  <c r="G166" i="11"/>
  <c r="G169" i="11"/>
  <c r="G177" i="11"/>
  <c r="G52" i="11"/>
  <c r="G62" i="11"/>
  <c r="G38" i="11"/>
  <c r="G84" i="11"/>
  <c r="G97" i="11"/>
  <c r="G99" i="11"/>
  <c r="G102" i="11"/>
  <c r="G125" i="11"/>
  <c r="G127" i="11"/>
  <c r="G154" i="11"/>
  <c r="G18" i="11"/>
  <c r="G178" i="11"/>
  <c r="G46" i="11"/>
  <c r="G19" i="11"/>
  <c r="G88" i="11"/>
  <c r="G91" i="11"/>
  <c r="G115" i="11"/>
  <c r="G121" i="11"/>
  <c r="G123" i="11"/>
  <c r="G130" i="11"/>
  <c r="G143" i="11"/>
  <c r="G24" i="11"/>
  <c r="G151" i="11"/>
  <c r="G157" i="11"/>
  <c r="G168" i="11"/>
  <c r="G173" i="11"/>
  <c r="G176" i="11"/>
  <c r="G181" i="11"/>
  <c r="G4" i="11"/>
  <c r="G15" i="11"/>
  <c r="F3" i="11"/>
  <c r="F5" i="11" s="1"/>
  <c r="G63" i="11"/>
  <c r="G75" i="11"/>
  <c r="G83" i="11"/>
  <c r="G93" i="11"/>
  <c r="G96" i="11"/>
  <c r="G106" i="11"/>
  <c r="G27" i="11"/>
  <c r="G132" i="11"/>
  <c r="G135" i="11"/>
  <c r="G159" i="11"/>
  <c r="G161" i="11"/>
  <c r="G183" i="11"/>
  <c r="G186" i="11"/>
  <c r="G25" i="11"/>
  <c r="G53" i="11"/>
  <c r="G81" i="11"/>
  <c r="G90" i="11"/>
  <c r="G101" i="11"/>
  <c r="G103" i="11"/>
  <c r="G111" i="11"/>
  <c r="G122" i="11"/>
  <c r="G39" i="11"/>
  <c r="G129" i="11"/>
  <c r="G138" i="11"/>
  <c r="G150" i="11"/>
  <c r="G32" i="11"/>
  <c r="G156" i="11"/>
  <c r="G42" i="11"/>
  <c r="G175" i="11"/>
  <c r="G180" i="11"/>
  <c r="G41" i="11"/>
  <c r="B77" i="9"/>
  <c r="B33" i="9"/>
  <c r="B129" i="9"/>
  <c r="B85" i="9"/>
  <c r="B83" i="9"/>
  <c r="B64" i="9"/>
  <c r="B59" i="9"/>
  <c r="B53" i="9"/>
  <c r="B108" i="9"/>
  <c r="C3" i="11"/>
  <c r="C5" i="11" s="1"/>
  <c r="G28" i="11"/>
  <c r="G66" i="11"/>
  <c r="G20" i="11"/>
  <c r="G60" i="11"/>
  <c r="G68" i="11"/>
  <c r="G72" i="11"/>
  <c r="E3" i="11"/>
  <c r="E5" i="11" s="1"/>
  <c r="G54" i="11"/>
  <c r="G56" i="11"/>
  <c r="G70" i="11"/>
  <c r="B103" i="9"/>
  <c r="G50" i="11"/>
  <c r="G59" i="11"/>
  <c r="G71" i="11"/>
  <c r="G51" i="11"/>
  <c r="G33" i="11"/>
  <c r="G61" i="11"/>
  <c r="G67" i="11"/>
  <c r="G76" i="11"/>
  <c r="G49" i="11"/>
  <c r="B3" i="11"/>
  <c r="B5" i="11" s="1"/>
  <c r="CD122" i="19"/>
  <c r="B12" i="18"/>
  <c r="CD162" i="19"/>
  <c r="BZ62" i="19"/>
  <c r="G2" i="15" l="1"/>
  <c r="B135" i="9"/>
  <c r="G2" i="12"/>
  <c r="L4" i="16"/>
  <c r="L6" i="16"/>
  <c r="L9" i="16"/>
  <c r="L5" i="16"/>
  <c r="L7" i="16"/>
  <c r="L8" i="16"/>
  <c r="L10" i="16"/>
  <c r="L3" i="16"/>
  <c r="G5" i="11"/>
  <c r="B11" i="17"/>
  <c r="F11" i="17" s="1"/>
  <c r="B136" i="9"/>
  <c r="G3" i="11"/>
  <c r="B13" i="18"/>
  <c r="F13" i="18" s="1"/>
  <c r="F12" i="18"/>
  <c r="H61" i="11" l="1"/>
  <c r="H7" i="11"/>
  <c r="H33" i="11"/>
  <c r="H68" i="11"/>
  <c r="H59" i="11"/>
  <c r="H67" i="11"/>
  <c r="H76" i="11"/>
  <c r="H49" i="11"/>
  <c r="H66" i="11"/>
  <c r="H54" i="11"/>
  <c r="H56" i="11"/>
  <c r="H60" i="11"/>
  <c r="H3" i="11"/>
  <c r="H5" i="11"/>
  <c r="H78" i="11"/>
  <c r="H26" i="11"/>
  <c r="H63" i="11"/>
  <c r="H58" i="11"/>
  <c r="H52" i="11"/>
  <c r="H25" i="11"/>
  <c r="H38" i="11"/>
  <c r="H65" i="11"/>
  <c r="H77" i="11"/>
  <c r="H9" i="11"/>
  <c r="H184" i="11"/>
  <c r="H117" i="11"/>
  <c r="H160" i="11"/>
  <c r="H98" i="11"/>
  <c r="H34" i="11"/>
  <c r="H124" i="11"/>
  <c r="H169" i="11"/>
  <c r="H84" i="11"/>
  <c r="H148" i="11"/>
  <c r="H115" i="11"/>
  <c r="H157" i="11"/>
  <c r="H74" i="11"/>
  <c r="H27" i="11"/>
  <c r="H183" i="11"/>
  <c r="H101" i="11"/>
  <c r="H139" i="11"/>
  <c r="H41" i="11"/>
  <c r="H11" i="11"/>
  <c r="H114" i="11"/>
  <c r="H118" i="11"/>
  <c r="H162" i="11"/>
  <c r="H113" i="11"/>
  <c r="H174" i="11"/>
  <c r="H47" i="11"/>
  <c r="H136" i="11"/>
  <c r="H177" i="11"/>
  <c r="H48" i="11"/>
  <c r="H154" i="11"/>
  <c r="H121" i="11"/>
  <c r="H158" i="11"/>
  <c r="H6" i="11"/>
  <c r="H126" i="11"/>
  <c r="H186" i="11"/>
  <c r="H103" i="11"/>
  <c r="H150" i="11"/>
  <c r="H163" i="11"/>
  <c r="H73" i="11"/>
  <c r="H43" i="11"/>
  <c r="H89" i="11"/>
  <c r="H179" i="11"/>
  <c r="H55" i="11"/>
  <c r="H13" i="11"/>
  <c r="H133" i="11"/>
  <c r="H128" i="11"/>
  <c r="H170" i="11"/>
  <c r="H119" i="11"/>
  <c r="H15" i="11"/>
  <c r="H14" i="11"/>
  <c r="H142" i="11"/>
  <c r="H45" i="11"/>
  <c r="H97" i="11"/>
  <c r="H18" i="11"/>
  <c r="H123" i="11"/>
  <c r="H168" i="11"/>
  <c r="H81" i="11"/>
  <c r="H132" i="11"/>
  <c r="H111" i="11"/>
  <c r="H32" i="11"/>
  <c r="H39" i="11"/>
  <c r="H167" i="11"/>
  <c r="H165" i="11"/>
  <c r="H166" i="11"/>
  <c r="H105" i="11"/>
  <c r="H37" i="11"/>
  <c r="H90" i="11"/>
  <c r="H180" i="11"/>
  <c r="H62" i="11"/>
  <c r="H80" i="11"/>
  <c r="H140" i="11"/>
  <c r="H23" i="11"/>
  <c r="H134" i="11"/>
  <c r="H171" i="11"/>
  <c r="H79" i="11"/>
  <c r="H35" i="11"/>
  <c r="H94" i="11"/>
  <c r="H144" i="11"/>
  <c r="H187" i="11"/>
  <c r="H99" i="11"/>
  <c r="H172" i="11"/>
  <c r="H88" i="11"/>
  <c r="H130" i="11"/>
  <c r="H173" i="11"/>
  <c r="H83" i="11"/>
  <c r="H135" i="11"/>
  <c r="H112" i="11"/>
  <c r="H156" i="11"/>
  <c r="H69" i="11"/>
  <c r="H82" i="11"/>
  <c r="H17" i="11"/>
  <c r="H92" i="11"/>
  <c r="H137" i="11"/>
  <c r="H44" i="11"/>
  <c r="H22" i="11"/>
  <c r="H141" i="11"/>
  <c r="H16" i="11"/>
  <c r="H109" i="11"/>
  <c r="H152" i="11"/>
  <c r="H53" i="11"/>
  <c r="H102" i="11"/>
  <c r="H178" i="11"/>
  <c r="H91" i="11"/>
  <c r="H131" i="11"/>
  <c r="H176" i="11"/>
  <c r="H57" i="11"/>
  <c r="H93" i="11"/>
  <c r="H155" i="11"/>
  <c r="H122" i="11"/>
  <c r="H42" i="11"/>
  <c r="H4" i="11"/>
  <c r="H86" i="11"/>
  <c r="H29" i="11"/>
  <c r="H30" i="11"/>
  <c r="H145" i="11"/>
  <c r="H185" i="11"/>
  <c r="H85" i="11"/>
  <c r="H147" i="11"/>
  <c r="H31" i="11"/>
  <c r="H153" i="11"/>
  <c r="H10" i="11"/>
  <c r="H120" i="11"/>
  <c r="H46" i="11"/>
  <c r="H12" i="11"/>
  <c r="H143" i="11"/>
  <c r="H181" i="11"/>
  <c r="H96" i="11"/>
  <c r="H159" i="11"/>
  <c r="H107" i="11"/>
  <c r="H36" i="11"/>
  <c r="H127" i="11"/>
  <c r="H151" i="11"/>
  <c r="H106" i="11"/>
  <c r="H138" i="11"/>
  <c r="H95" i="11"/>
  <c r="H164" i="11"/>
  <c r="H108" i="11"/>
  <c r="H146" i="11"/>
  <c r="H87" i="11"/>
  <c r="H149" i="11"/>
  <c r="H64" i="11"/>
  <c r="H116" i="11"/>
  <c r="H40" i="11"/>
  <c r="H75" i="11"/>
  <c r="H125" i="11"/>
  <c r="H104" i="11"/>
  <c r="H24" i="11"/>
  <c r="H182" i="11"/>
  <c r="H100" i="11"/>
  <c r="H161" i="11"/>
  <c r="H21" i="11"/>
  <c r="H129" i="11"/>
  <c r="H175" i="11"/>
  <c r="H110" i="11"/>
  <c r="H19" i="11"/>
  <c r="H70" i="11"/>
  <c r="H72" i="11"/>
  <c r="H50" i="11"/>
  <c r="H71" i="11"/>
  <c r="H28" i="11"/>
  <c r="H51" i="11"/>
  <c r="H20"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1" authorId="0" shapeId="0" xr:uid="{00000000-0006-0000-0000-000001000000}">
      <text>
        <r>
          <rPr>
            <sz val="11"/>
            <color theme="1"/>
            <rFont val="Calibri"/>
            <scheme val="minor"/>
          </rPr>
          <t>@hamish.mcdonaghaiken@acf.org.au this one is in the safeguard data so it can be removed from this sheet, right?
_Assigned to Hamish McDonagh-Aiken_
	-Kim Garratt
Yep, that's right. Sorry I just assumed it wasn't safeguard as they haven't been operating since 2016.
	-Hamish McDonagh-Aiken
----
another case of a near-match name
	-Kim Garratt
----
another near match name that the vlookup didn't pull automatically
	-Kim Garratt
----
i could be wrong here too- is there more than one Kestrel mine?
	-Kim Garratt
----
I might be wrong about this - this depends on Gruyere Mine Site being in fact the same thing as Gruyere Gold Mine
	-Kim Garratt
----
this facility had a two-year MYMP and then went straight into a new one
	-Kim Garratt
----
note that this has increased over time - 2022 reported emissions are over the facility's original baseline
	-Kim Garratt
----
absolutely cooked
	-Kim Garratt
----
has almost doubled over time
	-Kim Garratt
----
another example of a baseline shooting up over time
	-Kim Garratt
----
this is really weird - see the relevant MYMP baseline number
	-Kim Garratt
----
this facility wasn't a safeguard facility until it went over 100,000, so we can guess that its original baseline was assumed to be 100,000
	-Kim Garratt
----
this baseline jumped from an earlier baseline of 295,821
	-Kim Garratt
----
this facility is NOT PRESENT in today's download of the MYMP table, so this is an educated guess
	-Kim Garratt
----
note this baseline was previously 501,577
	-Kim Garratt
----
note that this baseline had already increased - previously it was 443,494, i.e. lower than 2021's reported emissions
	-Kim Garratt
----
this was 209,869 until 05 Feb 2022, not sure why. have edited to match the report.
	-Kim Garratt
----
the formula here needs to make sure that estimate years are only counted for non-blank reporting years
	-Kim Garratt
----
in the baselines table downloaded 25 Jan 2022, the baseline is set at 8,338,429 from july 2016 to june 2021. In the all data sheet it was written as 8361274, not sure why.
	-Kim Garratt
----
note that the LNG Pipeline is included in the web-based table and has a n/a baseline, but does not appear in the downloadable data
	-Kim Garratt
----
either this is wrong or a previous version was wrong. need to double check.
	-Kim Garratt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D33" authorId="0" shapeId="0" xr:uid="{00000000-0006-0000-0800-000001000000}">
      <text>
        <r>
          <rPr>
            <sz val="11"/>
            <color theme="1"/>
            <rFont val="Calibri"/>
            <scheme val="minor"/>
          </rPr>
          <t>source: https://www.riotinto.com/en/invest/reports/annual-report</t>
        </r>
      </text>
    </comment>
    <comment ref="D53" authorId="0" shapeId="0" xr:uid="{00000000-0006-0000-0800-000002000000}">
      <text>
        <r>
          <rPr>
            <sz val="11"/>
            <color theme="1"/>
            <rFont val="Calibri"/>
            <scheme val="minor"/>
          </rPr>
          <t>source: https://www.chevron.com/-/media/chevron/annual-report/2021/documents/2021-Annual-Report.pdf</t>
        </r>
      </text>
    </comment>
    <comment ref="D59" authorId="0" shapeId="0" xr:uid="{00000000-0006-0000-0800-000003000000}">
      <text>
        <r>
          <rPr>
            <sz val="11"/>
            <color theme="1"/>
            <rFont val="Calibri"/>
            <scheme val="minor"/>
          </rPr>
          <t>source: https://www.woodside.com.au/docs/default-source/investor-documents/major-reports-(static-pdfs)/2021-full-year-results/full-year-2021-results-and-briefing.pdf?sfvrsn=9f5344fb_5</t>
        </r>
      </text>
    </comment>
    <comment ref="D64" authorId="0" shapeId="0" xr:uid="{00000000-0006-0000-0800-000004000000}">
      <text>
        <r>
          <rPr>
            <sz val="11"/>
            <color theme="1"/>
            <rFont val="Calibri"/>
            <scheme val="minor"/>
          </rPr>
          <t>source: https://www.santos.com/news/2021-full-year-results</t>
        </r>
      </text>
    </comment>
    <comment ref="D77" authorId="0" shapeId="0" xr:uid="{00000000-0006-0000-0800-000005000000}">
      <text>
        <r>
          <rPr>
            <sz val="11"/>
            <color theme="1"/>
            <rFont val="Calibri"/>
            <scheme val="minor"/>
          </rPr>
          <t>source: https://www.angloamerican.com/~/media/Files/A/Anglo-American-Group/PLC/investors/annual-reporting/2022/aa-annual-report-full-2021.pdf</t>
        </r>
      </text>
    </comment>
    <comment ref="D83" authorId="0" shapeId="0" xr:uid="{00000000-0006-0000-0800-000006000000}">
      <text>
        <r>
          <rPr>
            <sz val="11"/>
            <color theme="1"/>
            <rFont val="Calibri"/>
            <scheme val="minor"/>
          </rPr>
          <t>source: https://s3-ap-southeast-2.amazonaws.com/bluescope-corporate-umbraco-media/media/3213/fy2021-asx-release.pdf</t>
        </r>
      </text>
    </comment>
    <comment ref="D85" authorId="0" shapeId="0" xr:uid="{00000000-0006-0000-0800-000007000000}">
      <text>
        <r>
          <rPr>
            <sz val="11"/>
            <color theme="1"/>
            <rFont val="Calibri"/>
            <scheme val="minor"/>
          </rPr>
          <t>source: https://www.bhp.com/investors/financial-results-operational-reviews/2021</t>
        </r>
      </text>
    </comment>
    <comment ref="D103" authorId="0" shapeId="0" xr:uid="{00000000-0006-0000-0800-000008000000}">
      <text>
        <r>
          <rPr>
            <sz val="11"/>
            <color theme="1"/>
            <rFont val="Calibri"/>
            <scheme val="minor"/>
          </rPr>
          <t>source: https://www.south32.net/docs/default-source/exchange-releases/annual-report-2021.pdf?sfvrsn=1ab964e0_2</t>
        </r>
      </text>
    </comment>
    <comment ref="D108" authorId="0" shapeId="0" xr:uid="{00000000-0006-0000-0800-000009000000}">
      <text>
        <r>
          <rPr>
            <sz val="11"/>
            <color theme="1"/>
            <rFont val="Calibri"/>
            <scheme val="minor"/>
          </rPr>
          <t>source://www.glencore.com/.rest/api/v1/documents/ce4fec31fc81d6049d076b15db35d45d/GLEN-2021-annual-report-.pdf</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Annica Schoo</author>
  </authors>
  <commentList>
    <comment ref="E14" authorId="0" shapeId="0" xr:uid="{FC86789A-F885-4AF7-A4E2-C1DC204F8FCA}">
      <text>
        <r>
          <rPr>
            <b/>
            <sz val="9"/>
            <color indexed="81"/>
            <rFont val="Tahoma"/>
            <charset val="1"/>
          </rPr>
          <t>Annica Schoo:</t>
        </r>
        <r>
          <rPr>
            <sz val="9"/>
            <color indexed="81"/>
            <rFont val="Tahoma"/>
            <charset val="1"/>
          </rPr>
          <t xml:space="preserve">
Includes period of care and maintenance</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
  </authors>
  <commentList>
    <comment ref="C8" authorId="0" shapeId="0" xr:uid="{00000000-0006-0000-0A00-000001000000}">
      <text>
        <r>
          <rPr>
            <sz val="11"/>
            <color theme="1"/>
            <rFont val="Calibri"/>
            <scheme val="minor"/>
          </rPr>
          <t>source: senate estimates</t>
        </r>
      </text>
    </comment>
    <comment ref="D8" authorId="0" shapeId="0" xr:uid="{00000000-0006-0000-0A00-000002000000}">
      <text>
        <r>
          <rPr>
            <sz val="11"/>
            <color theme="1"/>
            <rFont val="Calibri"/>
            <scheme val="minor"/>
          </rPr>
          <t>source: senate estimates</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
  </authors>
  <commentList>
    <comment ref="S2" authorId="0" shapeId="0" xr:uid="{00000000-0006-0000-1200-000001000000}">
      <text>
        <r>
          <rPr>
            <sz val="11"/>
            <color theme="1"/>
            <rFont val="Calibri"/>
            <scheme val="minor"/>
          </rPr>
          <t>source: https://www.cleanenergyregulator.gov.au/ERF/project-and-contracts-registers/project-register
method: eyeballed only, relying on recognising a name and hence a connection. all need to be double checked. also potentially some false negatives</t>
        </r>
      </text>
    </comment>
    <comment ref="AV2" authorId="0" shapeId="0" xr:uid="{00000000-0006-0000-1200-000002000000}">
      <text>
        <r>
          <rPr>
            <sz val="11"/>
            <color theme="1"/>
            <rFont val="Calibri"/>
            <scheme val="minor"/>
          </rPr>
          <t>COLOUR KEY: see 'dropdowns' tab</t>
        </r>
      </text>
    </comment>
    <comment ref="BB2" authorId="0" shapeId="0" xr:uid="{00000000-0006-0000-1200-000003000000}">
      <text>
        <r>
          <rPr>
            <sz val="11"/>
            <color theme="1"/>
            <rFont val="Calibri"/>
            <scheme val="minor"/>
          </rPr>
          <t>note: baselines included here are the baselines applied to the financial year, as reported, at the date of safeguard reporting.
COLOUR KEY: see 'dropdowns' tab</t>
        </r>
      </text>
    </comment>
    <comment ref="A3" authorId="0" shapeId="0" xr:uid="{00000000-0006-0000-1200-000004000000}">
      <text>
        <r>
          <rPr>
            <sz val="11"/>
            <color theme="1"/>
            <rFont val="Calibri"/>
            <scheme val="minor"/>
          </rPr>
          <t>Source: CER baseline table</t>
        </r>
      </text>
    </comment>
    <comment ref="B3" authorId="0" shapeId="0" xr:uid="{00000000-0006-0000-1200-000005000000}">
      <text>
        <r>
          <rPr>
            <sz val="11"/>
            <color theme="1"/>
            <rFont val="Calibri"/>
            <scheme val="minor"/>
          </rPr>
          <t xml:space="preserve">NPI facility name entered manually by comparing safeguard facility name, ABN, state and suburb, and activity. </t>
        </r>
      </text>
    </comment>
    <comment ref="C3" authorId="0" shapeId="0" xr:uid="{00000000-0006-0000-1200-000006000000}">
      <text>
        <r>
          <rPr>
            <sz val="11"/>
            <color theme="1"/>
            <rFont val="Calibri"/>
            <scheme val="minor"/>
          </rPr>
          <t>source: 2021 safeguard emissions data. Note that operators change not infrequently. This may be out of date, and prior years may have had a different operator.</t>
        </r>
      </text>
    </comment>
    <comment ref="D3" authorId="0" shapeId="0" xr:uid="{00000000-0006-0000-1200-000007000000}">
      <text>
        <r>
          <rPr>
            <sz val="11"/>
            <color theme="1"/>
            <rFont val="Calibri"/>
            <scheme val="minor"/>
          </rPr>
          <t>source: manually entered based on research. Data as at 9 September 2022. Note that operators change not infrequently. This may be out of date, and prior years may have had a different operator.</t>
        </r>
      </text>
    </comment>
    <comment ref="E3" authorId="0" shapeId="0" xr:uid="{00000000-0006-0000-1200-000008000000}">
      <text>
        <r>
          <rPr>
            <sz val="11"/>
            <color theme="1"/>
            <rFont val="Calibri"/>
            <scheme val="minor"/>
          </rPr>
          <t>source: CER baseline table 2022, (may not correspond to ABN used in NPI data), and in some cases where it was missing in the original spreadsheet i added it from NPI data.</t>
        </r>
      </text>
    </comment>
    <comment ref="G3" authorId="0" shapeId="0" xr:uid="{00000000-0006-0000-1200-000009000000}">
      <text>
        <r>
          <rPr>
            <sz val="11"/>
            <color theme="1"/>
            <rFont val="Calibri"/>
            <scheme val="minor"/>
          </rPr>
          <t>source/methodology: NPI data</t>
        </r>
      </text>
    </comment>
    <comment ref="H3" authorId="0" shapeId="0" xr:uid="{00000000-0006-0000-1200-00000A000000}">
      <text>
        <r>
          <rPr>
            <sz val="11"/>
            <color theme="1"/>
            <rFont val="Calibri"/>
            <scheme val="minor"/>
          </rPr>
          <t>source/methodology: NPI data</t>
        </r>
      </text>
    </comment>
    <comment ref="I3" authorId="0" shapeId="0" xr:uid="{00000000-0006-0000-1200-00000B000000}">
      <text>
        <r>
          <rPr>
            <sz val="11"/>
            <color theme="1"/>
            <rFont val="Calibri"/>
            <scheme val="minor"/>
          </rPr>
          <t>source/methodology: NPI data</t>
        </r>
      </text>
    </comment>
    <comment ref="J3" authorId="0" shapeId="0" xr:uid="{00000000-0006-0000-1200-00000C000000}">
      <text>
        <r>
          <rPr>
            <sz val="11"/>
            <color theme="1"/>
            <rFont val="Calibri"/>
            <scheme val="minor"/>
          </rPr>
          <t>source/methodology: NPI data</t>
        </r>
      </text>
    </comment>
    <comment ref="K3" authorId="0" shapeId="0" xr:uid="{00000000-0006-0000-1200-00000D000000}">
      <text>
        <r>
          <rPr>
            <sz val="11"/>
            <color theme="1"/>
            <rFont val="Calibri"/>
            <scheme val="minor"/>
          </rPr>
          <t>source/methodology: NPI data</t>
        </r>
      </text>
    </comment>
    <comment ref="L3" authorId="0" shapeId="0" xr:uid="{00000000-0006-0000-1200-00000E000000}">
      <text>
        <r>
          <rPr>
            <sz val="11"/>
            <color theme="1"/>
            <rFont val="Calibri"/>
            <scheme val="minor"/>
          </rPr>
          <t>source: Grattan Institute July 2022  https://grattan.edu.au/report/next-industrial-revolution/</t>
        </r>
      </text>
    </comment>
    <comment ref="M3" authorId="0" shapeId="0" xr:uid="{00000000-0006-0000-1200-00000F000000}">
      <text>
        <r>
          <rPr>
            <sz val="11"/>
            <color theme="1"/>
            <rFont val="Calibri"/>
            <scheme val="minor"/>
          </rPr>
          <t>source: Grattan Institute July 2022  https://grattan.edu.au/report/next-industrial-revolution/</t>
        </r>
      </text>
    </comment>
    <comment ref="N3" authorId="0" shapeId="0" xr:uid="{00000000-0006-0000-1200-000010000000}">
      <text>
        <r>
          <rPr>
            <sz val="11"/>
            <color theme="1"/>
            <rFont val="Calibri"/>
            <scheme val="minor"/>
          </rPr>
          <t>source: Grattan Institute July 2022  https://grattan.edu.au/report/next-industrial-revolution/</t>
        </r>
      </text>
    </comment>
    <comment ref="Q3" authorId="0" shapeId="0" xr:uid="{00000000-0006-0000-1200-000011000000}">
      <text>
        <r>
          <rPr>
            <sz val="11"/>
            <color theme="1"/>
            <rFont val="Calibri"/>
            <scheme val="minor"/>
          </rPr>
          <t>source: NPI data</t>
        </r>
      </text>
    </comment>
    <comment ref="S3" authorId="0" shapeId="0" xr:uid="{00000000-0006-0000-1200-000012000000}">
      <text>
        <r>
          <rPr>
            <sz val="11"/>
            <color theme="1"/>
            <rFont val="Calibri"/>
            <scheme val="minor"/>
          </rPr>
          <t>source: https://www.cleanenergyregulator.gov.au/ERF/project-and-contracts-registers/project-register
Method: manually entered based on facility/project/operator/location information. May be some false positives and false negatives</t>
        </r>
      </text>
    </comment>
    <comment ref="T3" authorId="0" shapeId="0" xr:uid="{00000000-0006-0000-1200-000013000000}">
      <text>
        <r>
          <rPr>
            <sz val="11"/>
            <color theme="1"/>
            <rFont val="Calibri"/>
            <scheme val="minor"/>
          </rPr>
          <t>source: https://www.cleanenergyregulator.gov.au/ERF/project-and-contracts-registers/project-register</t>
        </r>
      </text>
    </comment>
    <comment ref="U3" authorId="0" shapeId="0" xr:uid="{00000000-0006-0000-1200-000014000000}">
      <text>
        <r>
          <rPr>
            <sz val="11"/>
            <color theme="1"/>
            <rFont val="Calibri"/>
            <scheme val="minor"/>
          </rPr>
          <t>source: https://www.cleanenergyregulator.gov.au/ERF/project-and-contracts-registers/project-register</t>
        </r>
      </text>
    </comment>
    <comment ref="V3" authorId="0" shapeId="0" xr:uid="{00000000-0006-0000-1200-000015000000}">
      <text>
        <r>
          <rPr>
            <sz val="11"/>
            <color theme="1"/>
            <rFont val="Calibri"/>
            <scheme val="minor"/>
          </rPr>
          <t>source: https://www.cleanenergyregulator.gov.au/ERF/project-and-contracts-registers/project-register</t>
        </r>
      </text>
    </comment>
    <comment ref="W3" authorId="0" shapeId="0" xr:uid="{00000000-0006-0000-1200-000016000000}">
      <text>
        <r>
          <rPr>
            <sz val="11"/>
            <color theme="1"/>
            <rFont val="Calibri"/>
            <scheme val="minor"/>
          </rPr>
          <t xml:space="preserve">source: https://www.cleanenergyregulator.gov.au/ERF/project-and-contracts-registers/project-register
</t>
        </r>
      </text>
    </comment>
    <comment ref="X3" authorId="0" shapeId="0" xr:uid="{00000000-0006-0000-1200-000017000000}">
      <text>
        <r>
          <rPr>
            <sz val="11"/>
            <color theme="1"/>
            <rFont val="Calibri"/>
            <scheme val="minor"/>
          </rPr>
          <t xml:space="preserve">source: https://www.cleanenergyregulator.gov.au/ERF/project-and-contracts-registers/project-register
</t>
        </r>
      </text>
    </comment>
    <comment ref="Y3" authorId="0" shapeId="0" xr:uid="{00000000-0006-0000-1200-000018000000}">
      <text>
        <r>
          <rPr>
            <sz val="11"/>
            <color theme="1"/>
            <rFont val="Calibri"/>
            <scheme val="minor"/>
          </rPr>
          <t xml:space="preserve">source: https://www.cleanenergyregulator.gov.au/ERF/project-and-contracts-registers/project-register
</t>
        </r>
      </text>
    </comment>
    <comment ref="Z3" authorId="0" shapeId="0" xr:uid="{00000000-0006-0000-1200-000019000000}">
      <text>
        <r>
          <rPr>
            <sz val="11"/>
            <color theme="1"/>
            <rFont val="Calibri"/>
            <scheme val="minor"/>
          </rPr>
          <t xml:space="preserve">source: https://www.cleanenergyregulator.gov.au/ERF/project-and-contracts-registers/project-register
</t>
        </r>
      </text>
    </comment>
    <comment ref="AA3" authorId="0" shapeId="0" xr:uid="{00000000-0006-0000-1200-00001A000000}">
      <text>
        <r>
          <rPr>
            <sz val="11"/>
            <color theme="1"/>
            <rFont val="Calibri"/>
            <scheme val="minor"/>
          </rPr>
          <t xml:space="preserve">source: https://www.cleanenergyregulator.gov.au/ERF/project-and-contracts-registers/project-register
</t>
        </r>
      </text>
    </comment>
    <comment ref="AB3" authorId="0" shapeId="0" xr:uid="{00000000-0006-0000-1200-00001B000000}">
      <text>
        <r>
          <rPr>
            <sz val="11"/>
            <color theme="1"/>
            <rFont val="Calibri"/>
            <scheme val="minor"/>
          </rPr>
          <t xml:space="preserve">source: https://www.cleanenergyregulator.gov.au/ERF/project-and-contracts-registers/project-register
</t>
        </r>
      </text>
    </comment>
    <comment ref="AC3" authorId="0" shapeId="0" xr:uid="{00000000-0006-0000-1200-00001C000000}">
      <text>
        <r>
          <rPr>
            <sz val="11"/>
            <color theme="1"/>
            <rFont val="Calibri"/>
            <scheme val="minor"/>
          </rPr>
          <t>source: CER Carbon abatement contract table downloaded September 9. Contract data as a 3 July 2022. https://www.cleanenergyregulator.gov.au/DocumentAssets/Pages/Carbon-Abatement-Contract-table.aspx</t>
        </r>
      </text>
    </comment>
    <comment ref="AD3" authorId="0" shapeId="0" xr:uid="{00000000-0006-0000-1200-00001D000000}">
      <text>
        <r>
          <rPr>
            <sz val="11"/>
            <color theme="1"/>
            <rFont val="Calibri"/>
            <scheme val="minor"/>
          </rPr>
          <t>source: CER Carbon abatement contract table downloaded September 9. Contract data as a 3 July 2022. https://www.cleanenergyregulator.gov.au/DocumentAssets/Pages/Carbon-Abatement-Contract-table.aspx Where a CAC is associated with multiple ERFs, I have arbitrarily divided the volume by the number of ERFs to estimate the volume.</t>
        </r>
      </text>
    </comment>
    <comment ref="AE3" authorId="0" shapeId="0" xr:uid="{00000000-0006-0000-1200-00001E000000}">
      <text>
        <r>
          <rPr>
            <sz val="11"/>
            <color theme="1"/>
            <rFont val="Calibri"/>
            <scheme val="minor"/>
          </rPr>
          <t>source: CER Carbon abatement contract table downloaded September 9. Contract data as a 3 July 2022. https://www.cleanenergyregulator.gov.au/DocumentAssets/Pages/Carbon-Abatement-Contract-table.aspx Where a CAC is associated with multiple ERFs, I have arbitrarily divided the volume by the number of ERFs to estimate the volume.</t>
        </r>
      </text>
    </comment>
    <comment ref="AF3" authorId="0" shapeId="0" xr:uid="{00000000-0006-0000-1200-00001F000000}">
      <text>
        <r>
          <rPr>
            <sz val="11"/>
            <color theme="1"/>
            <rFont val="Calibri"/>
            <scheme val="minor"/>
          </rPr>
          <t xml:space="preserve">source: https://www.cleanenergyregulator.gov.au/ERF/project-and-contracts-registers/project-register
</t>
        </r>
      </text>
    </comment>
    <comment ref="AG3" authorId="0" shapeId="0" xr:uid="{00000000-0006-0000-1200-000020000000}">
      <text>
        <r>
          <rPr>
            <sz val="11"/>
            <color theme="1"/>
            <rFont val="Calibri"/>
            <scheme val="minor"/>
          </rPr>
          <t xml:space="preserve">source: https://www.cleanenergyregulator.gov.au/ERF/project-and-contracts-registers/project-register
</t>
        </r>
      </text>
    </comment>
    <comment ref="AM3" authorId="0" shapeId="0" xr:uid="{00000000-0006-0000-1200-000021000000}">
      <text>
        <r>
          <rPr>
            <sz val="11"/>
            <color theme="1"/>
            <rFont val="Calibri"/>
            <scheme val="minor"/>
          </rPr>
          <t>sources: https://www.accr.org.au/news/cognitive-dissonance-glencore%E2%80%99s-coal-expansion-plans-are-not-%E2%80%98responsible%E2%80%99/ and https://www.industry.gov.au/data-and-publications/resources-and-energy-major-projects-2021
Note that if it's listed as a new project in REMP but is clearly associated with the site and being proposed by the same company, it is in this data as an expansion. E.g. Moranbah South, Saraji East.
Data supplemented by public announcements about expansion approvals and status updates.</t>
        </r>
      </text>
    </comment>
    <comment ref="AU3" authorId="0" shapeId="0" xr:uid="{00000000-0006-0000-1200-000022000000}">
      <text>
        <r>
          <rPr>
            <sz val="11"/>
            <color theme="1"/>
            <rFont val="Calibri"/>
            <scheme val="minor"/>
          </rPr>
          <t>source: CER multi-year monitoring period table</t>
        </r>
      </text>
    </comment>
    <comment ref="AV3" authorId="0" shapeId="0" xr:uid="{00000000-0006-0000-1200-000023000000}">
      <text>
        <r>
          <rPr>
            <sz val="11"/>
            <color theme="1"/>
            <rFont val="Calibri"/>
            <scheme val="minor"/>
          </rPr>
          <t>source/methodology: CER: 2016-17 reported emissions data</t>
        </r>
      </text>
    </comment>
    <comment ref="AW3" authorId="0" shapeId="0" xr:uid="{00000000-0006-0000-1200-000024000000}">
      <text>
        <r>
          <rPr>
            <sz val="11"/>
            <color theme="1"/>
            <rFont val="Calibri"/>
            <scheme val="minor"/>
          </rPr>
          <t>source/methodology: CER: 2017-18 reported emissions data</t>
        </r>
      </text>
    </comment>
    <comment ref="AX3" authorId="0" shapeId="0" xr:uid="{00000000-0006-0000-1200-000025000000}">
      <text>
        <r>
          <rPr>
            <sz val="11"/>
            <color theme="1"/>
            <rFont val="Calibri"/>
            <scheme val="minor"/>
          </rPr>
          <t>source/methodology: CER: 2018-19 reported emissions data</t>
        </r>
      </text>
    </comment>
    <comment ref="AY3" authorId="0" shapeId="0" xr:uid="{00000000-0006-0000-1200-000026000000}">
      <text>
        <r>
          <rPr>
            <sz val="11"/>
            <color theme="1"/>
            <rFont val="Calibri"/>
            <scheme val="minor"/>
          </rPr>
          <t>source/methodology: CER: 2019-20 reported emissions data</t>
        </r>
      </text>
    </comment>
    <comment ref="BB3" authorId="0" shapeId="0" xr:uid="{00000000-0006-0000-1200-000027000000}">
      <text>
        <r>
          <rPr>
            <sz val="11"/>
            <color theme="1"/>
            <rFont val="Calibri"/>
            <scheme val="minor"/>
          </rPr>
          <t>source/methodology: CER baselines data</t>
        </r>
      </text>
    </comment>
    <comment ref="BC3" authorId="0" shapeId="0" xr:uid="{00000000-0006-0000-1200-000028000000}">
      <text>
        <r>
          <rPr>
            <sz val="11"/>
            <color theme="1"/>
            <rFont val="Calibri"/>
            <scheme val="minor"/>
          </rPr>
          <t>source/methodology: CER baselines data</t>
        </r>
      </text>
    </comment>
    <comment ref="BD3" authorId="0" shapeId="0" xr:uid="{00000000-0006-0000-1200-000029000000}">
      <text>
        <r>
          <rPr>
            <sz val="11"/>
            <color theme="1"/>
            <rFont val="Calibri"/>
            <scheme val="minor"/>
          </rPr>
          <t>source/methodology: CER baselines data</t>
        </r>
      </text>
    </comment>
    <comment ref="BE3" authorId="0" shapeId="0" xr:uid="{00000000-0006-0000-1200-00002A000000}">
      <text>
        <r>
          <rPr>
            <sz val="11"/>
            <color theme="1"/>
            <rFont val="Calibri"/>
            <scheme val="minor"/>
          </rPr>
          <t>source/methodology: CER baselines data</t>
        </r>
      </text>
    </comment>
    <comment ref="BF3" authorId="0" shapeId="0" xr:uid="{00000000-0006-0000-1200-00002B000000}">
      <text>
        <r>
          <rPr>
            <sz val="11"/>
            <color theme="1"/>
            <rFont val="Calibri"/>
            <scheme val="minor"/>
          </rPr>
          <t>source/methodology: CER baselines data</t>
        </r>
      </text>
    </comment>
    <comment ref="BG3" authorId="0" shapeId="0" xr:uid="{00000000-0006-0000-1200-00002C000000}">
      <text>
        <r>
          <rPr>
            <sz val="11"/>
            <color theme="1"/>
            <rFont val="Calibri"/>
            <scheme val="minor"/>
          </rPr>
          <t>source/methodology: CER baselines table downloaded 4 july 2022, MYMP table downloaded 15 July</t>
        </r>
      </text>
    </comment>
    <comment ref="BI3" authorId="0" shapeId="0" xr:uid="{00000000-0006-0000-1200-00002D000000}">
      <text>
        <r>
          <rPr>
            <sz val="11"/>
            <color theme="1"/>
            <rFont val="Calibri"/>
            <scheme val="minor"/>
          </rPr>
          <t>source: CER reported emissions</t>
        </r>
      </text>
    </comment>
    <comment ref="BJ3" authorId="0" shapeId="0" xr:uid="{00000000-0006-0000-1200-00002E000000}">
      <text>
        <r>
          <rPr>
            <sz val="11"/>
            <color theme="1"/>
            <rFont val="Calibri"/>
            <scheme val="minor"/>
          </rPr>
          <t>source: CER reported emissions</t>
        </r>
      </text>
    </comment>
    <comment ref="BK3" authorId="0" shapeId="0" xr:uid="{00000000-0006-0000-1200-00002F000000}">
      <text>
        <r>
          <rPr>
            <sz val="11"/>
            <color theme="1"/>
            <rFont val="Calibri"/>
            <scheme val="minor"/>
          </rPr>
          <t>source: CER reported emissions</t>
        </r>
      </text>
    </comment>
    <comment ref="BL3" authorId="0" shapeId="0" xr:uid="{00000000-0006-0000-1200-000030000000}">
      <text>
        <r>
          <rPr>
            <sz val="11"/>
            <color theme="1"/>
            <rFont val="Calibri"/>
            <scheme val="minor"/>
          </rPr>
          <t>source: CER reported emissions</t>
        </r>
      </text>
    </comment>
    <comment ref="BM3" authorId="0" shapeId="0" xr:uid="{00000000-0006-0000-1200-000031000000}">
      <text>
        <r>
          <rPr>
            <sz val="11"/>
            <color theme="1"/>
            <rFont val="Calibri"/>
            <scheme val="minor"/>
          </rPr>
          <t>source: CER reported emissions</t>
        </r>
      </text>
    </comment>
    <comment ref="BO3" authorId="0" shapeId="0" xr:uid="{00000000-0006-0000-1200-000032000000}">
      <text>
        <r>
          <rPr>
            <sz val="11"/>
            <color theme="1"/>
            <rFont val="Calibri"/>
            <scheme val="minor"/>
          </rPr>
          <t>source: https://www.acf.org.au/emissions_expose</t>
        </r>
      </text>
    </comment>
    <comment ref="BP3" authorId="0" shapeId="0" xr:uid="{00000000-0006-0000-1200-000033000000}">
      <text>
        <r>
          <rPr>
            <sz val="11"/>
            <color theme="1"/>
            <rFont val="Calibri"/>
            <scheme val="minor"/>
          </rPr>
          <t>source: https://www.acf.org.au/emissions_expose</t>
        </r>
      </text>
    </comment>
    <comment ref="BQ3" authorId="0" shapeId="0" xr:uid="{00000000-0006-0000-1200-000034000000}">
      <text>
        <r>
          <rPr>
            <sz val="11"/>
            <color theme="1"/>
            <rFont val="Calibri"/>
            <scheme val="minor"/>
          </rPr>
          <t>source: https://www.acf.org.au/emissions_expose</t>
        </r>
      </text>
    </comment>
    <comment ref="BR3" authorId="0" shapeId="0" xr:uid="{00000000-0006-0000-1200-000035000000}">
      <text>
        <r>
          <rPr>
            <sz val="11"/>
            <color theme="1"/>
            <rFont val="Calibri"/>
            <scheme val="minor"/>
          </rPr>
          <t>source: https://www.acf.org.au/emissions_expose</t>
        </r>
      </text>
    </comment>
    <comment ref="BT3" authorId="0" shapeId="0" xr:uid="{00000000-0006-0000-1200-000036000000}">
      <text>
        <r>
          <rPr>
            <sz val="11"/>
            <color theme="1"/>
            <rFont val="Calibri"/>
            <scheme val="minor"/>
          </rPr>
          <t>source: 73 entries merged from "ACFANU"</t>
        </r>
      </text>
    </comment>
    <comment ref="BU3" authorId="0" shapeId="0" xr:uid="{00000000-0006-0000-1200-000037000000}">
      <text>
        <r>
          <rPr>
            <sz val="11"/>
            <color theme="1"/>
            <rFont val="Calibri"/>
            <scheme val="minor"/>
          </rPr>
          <t>source: 73 entries merged from "ACFANU"</t>
        </r>
      </text>
    </comment>
    <comment ref="BV3" authorId="0" shapeId="0" xr:uid="{00000000-0006-0000-1200-000038000000}">
      <text>
        <r>
          <rPr>
            <sz val="11"/>
            <color theme="1"/>
            <rFont val="Calibri"/>
            <scheme val="minor"/>
          </rPr>
          <t>source: 73 entries merged from "ACFANU"</t>
        </r>
      </text>
    </comment>
    <comment ref="BW3" authorId="0" shapeId="0" xr:uid="{00000000-0006-0000-1200-000039000000}">
      <text>
        <r>
          <rPr>
            <sz val="11"/>
            <color theme="1"/>
            <rFont val="Calibri"/>
            <scheme val="minor"/>
          </rPr>
          <t>source: 73 entries merged from "ACFANU"</t>
        </r>
      </text>
    </comment>
    <comment ref="AZ20" authorId="0" shapeId="0" xr:uid="{00000000-0006-0000-1200-000047000000}">
      <text>
        <r>
          <rPr>
            <sz val="11"/>
            <color theme="1"/>
            <rFont val="Calibri"/>
            <scheme val="minor"/>
          </rPr>
          <t>Under section 56 of the National Greenhouse and Energy Reporting (Safeguard Mechanism) Rule 2015, the Clean Energy Regulator varied this baseline emissions number to account for changes in global warming potentials (GWP) with effect from 1 July 2020.</t>
        </r>
      </text>
    </comment>
    <comment ref="AL24" authorId="0" shapeId="0" xr:uid="{00000000-0006-0000-1200-00004D000000}">
      <text>
        <r>
          <rPr>
            <sz val="11"/>
            <color theme="1"/>
            <rFont val="Calibri"/>
            <scheme val="minor"/>
          </rPr>
          <t>confirmed permian whittingham coal measures are in Sydney Basin</t>
        </r>
      </text>
    </comment>
    <comment ref="A25" authorId="0" shapeId="0" xr:uid="{00000000-0006-0000-1200-000048000000}">
      <text>
        <r>
          <rPr>
            <sz val="11"/>
            <color theme="1"/>
            <rFont val="Calibri"/>
            <scheme val="minor"/>
          </rPr>
          <t xml:space="preserve">Is this Grasstree?
</t>
        </r>
      </text>
    </comment>
    <comment ref="B29" authorId="0" shapeId="0" xr:uid="{00000000-0006-0000-1200-000055000000}">
      <text>
        <r>
          <rPr>
            <sz val="11"/>
            <color theme="1"/>
            <rFont val="Calibri"/>
            <scheme val="minor"/>
          </rPr>
          <t>GGT, Cosmos Delivery/Meter Station
GGT, Gwalia Delivery/Meter Station
GGT, Jaguar Delivery/Meter Station
GGT, Jundee Delivery/Meter Station
GGT, Leinster Terminal Delivery/Meter Station
GGT, Leonora Delivery/Meter Station
GGT, Magellan Delivery/Meter Station
GGT, Mt Keith Delivery/Meter Station
GGT, Murrin Murrin Delivery/Meter Station
GGT, Paraburdoo Delivery/Meter Station
GGT, Plutonic Delivery/Meter Station
GGT, Wiluna Gold Delivery/Meter Station</t>
        </r>
      </text>
    </comment>
    <comment ref="B35" authorId="0" shapeId="0" xr:uid="{00000000-0006-0000-1200-000040000000}">
      <text>
        <r>
          <rPr>
            <sz val="11"/>
            <color theme="1"/>
            <rFont val="Calibri"/>
            <scheme val="minor"/>
          </rPr>
          <t>could be one or multiple of
QR National Kooragang Train Fuel Facility
Antiene Maintenance
Ashton Provisioning Facility
Hexham Train Support Facility
Wambo Bulk Fuel (Provisioning) Facility</t>
        </r>
      </text>
    </comment>
    <comment ref="B47" authorId="0" shapeId="0" xr:uid="{00000000-0006-0000-1200-000066000000}">
      <text>
        <r>
          <rPr>
            <sz val="11"/>
            <color theme="1"/>
            <rFont val="Calibri"/>
            <scheme val="minor"/>
          </rPr>
          <t>one or more of:
Marillana Creek - Yandi
Mining Area C
Mt Whaleback / Orebody 29,30 &amp; 35
Orebody 18
Orebody 23/25 Operations
Wheelarra Hill - Jimblebar
Yarnima Power Station</t>
        </r>
      </text>
    </comment>
    <comment ref="BS62" authorId="0" shapeId="0" xr:uid="{00000000-0006-0000-1200-00006E000000}">
      <text>
        <r>
          <rPr>
            <sz val="11"/>
            <color theme="1"/>
            <rFont val="Calibri"/>
            <scheme val="minor"/>
          </rPr>
          <t>1,804,652 (Rix's Creek North, YTD 2017), 2,013,486 (Rix's Creek South, YTD 2017)</t>
        </r>
      </text>
    </comment>
    <comment ref="BT62" authorId="0" shapeId="0" xr:uid="{00000000-0006-0000-1200-00006F000000}">
      <text>
        <r>
          <rPr>
            <sz val="11"/>
            <color theme="1"/>
            <rFont val="Calibri"/>
            <scheme val="minor"/>
          </rPr>
          <t>2,979,572 (Rix's Creek North, YTD 2018), 1,694,275 (Rix's Creek South, YTD 2018)</t>
        </r>
      </text>
    </comment>
    <comment ref="BU62" authorId="0" shapeId="0" xr:uid="{00000000-0006-0000-1200-000070000000}">
      <text>
        <r>
          <rPr>
            <sz val="11"/>
            <color theme="1"/>
            <rFont val="Calibri"/>
            <scheme val="minor"/>
          </rPr>
          <t>1,213,920 (Rix's Creek North, YTD 2019), 2,332,364 (Rix's Creek South, YTD 2019)</t>
        </r>
      </text>
    </comment>
    <comment ref="BV62" authorId="0" shapeId="0" xr:uid="{00000000-0006-0000-1200-000071000000}">
      <text>
        <r>
          <rPr>
            <sz val="11"/>
            <color theme="1"/>
            <rFont val="Calibri"/>
            <scheme val="minor"/>
          </rPr>
          <t>1,332,678 (Rix's Creek North, YTD 2020) 3,107,814 (Rix's Creek South, YTD 2020)</t>
        </r>
      </text>
    </comment>
    <comment ref="BW62" authorId="0" shapeId="0" xr:uid="{00000000-0006-0000-1200-000072000000}">
      <text>
        <r>
          <rPr>
            <sz val="11"/>
            <color theme="1"/>
            <rFont val="Calibri"/>
            <scheme val="minor"/>
          </rPr>
          <t>1,474,016 (Rix's Creek North, YTD 2021 Forecast), 3,007,867 (Rix's Creek South, YTD 2021 Forecast)</t>
        </r>
      </text>
    </comment>
    <comment ref="D69" authorId="0" shapeId="0" xr:uid="{00000000-0006-0000-1200-000044000000}">
      <text>
        <r>
          <rPr>
            <sz val="11"/>
            <color theme="1"/>
            <rFont val="Calibri"/>
            <scheme val="minor"/>
          </rPr>
          <t>Acquired from New Hope August 2022. BCB is a company of Brian Flannery's (also invested in Delta)</t>
        </r>
      </text>
    </comment>
    <comment ref="A75" authorId="0" shapeId="0" xr:uid="{00000000-0006-0000-1200-000051000000}">
      <text>
        <r>
          <rPr>
            <sz val="11"/>
            <color theme="1"/>
            <rFont val="Calibri"/>
            <scheme val="minor"/>
          </rPr>
          <t>formerly CTC WA Facility</t>
        </r>
      </text>
    </comment>
    <comment ref="D80" authorId="0" shapeId="0" xr:uid="{00000000-0006-0000-1200-000057000000}">
      <text>
        <r>
          <rPr>
            <sz val="11"/>
            <color theme="1"/>
            <rFont val="Calibri"/>
            <scheme val="minor"/>
          </rPr>
          <t>JERA is a subsidiary but owns such a negligible portion of the project I thought it wasn't worth elaborating</t>
        </r>
      </text>
    </comment>
    <comment ref="D81" authorId="0" shapeId="0" xr:uid="{00000000-0006-0000-1200-000056000000}">
      <text>
        <r>
          <rPr>
            <sz val="11"/>
            <color theme="1"/>
            <rFont val="Calibri"/>
            <scheme val="minor"/>
          </rPr>
          <t>JERA is a subsidiary but owns such a negligible portion of the project I thought it wasn't worth elaborating</t>
        </r>
      </text>
    </comment>
    <comment ref="D82" authorId="0" shapeId="0" xr:uid="{00000000-0006-0000-1200-000058000000}">
      <text>
        <r>
          <rPr>
            <sz val="11"/>
            <color theme="1"/>
            <rFont val="Calibri"/>
            <scheme val="minor"/>
          </rPr>
          <t>JERA is a subsidiary but owns such a negligible portion of the project I thought it wasn't worth elaborating</t>
        </r>
      </text>
    </comment>
    <comment ref="A89" authorId="0" shapeId="0" xr:uid="{00000000-0006-0000-1200-00003A000000}">
      <text>
        <r>
          <rPr>
            <sz val="11"/>
            <color theme="1"/>
            <rFont val="Calibri"/>
            <scheme val="minor"/>
          </rPr>
          <t>previously reported as Post Collections - MRL
aka Ravenhall Melbourne Regional Landfill (MRL)</t>
        </r>
      </text>
    </comment>
    <comment ref="D99" authorId="0" shapeId="0" xr:uid="{00000000-0006-0000-1200-000049000000}">
      <text>
        <r>
          <rPr>
            <sz val="11"/>
            <color theme="1"/>
            <rFont val="Calibri"/>
            <scheme val="minor"/>
          </rPr>
          <t>Great Southern Energy Pty Ltd trading as Delta Coal</t>
        </r>
      </text>
    </comment>
    <comment ref="AL99" authorId="0" shapeId="0" xr:uid="{00000000-0006-0000-1200-00004A000000}">
      <text>
        <r>
          <rPr>
            <sz val="11"/>
            <color theme="1"/>
            <rFont val="Calibri"/>
            <scheme val="minor"/>
          </rPr>
          <t>seams are in the Newcastle coal measures according to mining data, which according to Wikipedia are part of the Sydney Basin</t>
        </r>
      </text>
    </comment>
    <comment ref="BM99" authorId="0" shapeId="0" xr:uid="{00000000-0006-0000-1200-00004B000000}">
      <text>
        <r>
          <rPr>
            <sz val="11"/>
            <color theme="1"/>
            <rFont val="Calibri"/>
            <scheme val="minor"/>
          </rPr>
          <t>source: annual report https://www.deltacoal.com.au/ArticleDocuments/10467/CVC%202021%20Annual%20Review%20V1_Reduced.pdf.aspx 
Note that CVC did not report emissions to the CER for this FY</t>
        </r>
      </text>
    </comment>
    <comment ref="A104" authorId="0" shapeId="0" xr:uid="{00000000-0006-0000-1200-00005B000000}">
      <text>
        <r>
          <rPr>
            <sz val="11"/>
            <color theme="1"/>
            <rFont val="Calibri"/>
            <scheme val="minor"/>
          </rPr>
          <t>has previously reported with the name "Kestrel Coal Pty Ltd"</t>
        </r>
      </text>
    </comment>
    <comment ref="BM104" authorId="0" shapeId="0" xr:uid="{00000000-0006-0000-1200-00005C000000}">
      <text>
        <r>
          <rPr>
            <sz val="11"/>
            <color theme="1"/>
            <rFont val="Calibri"/>
            <scheme val="minor"/>
          </rPr>
          <t>reported with the name "Kestrel Coal Pty Ltd"</t>
        </r>
      </text>
    </comment>
    <comment ref="BW104" authorId="0" shapeId="0" xr:uid="{00000000-0006-0000-1200-000078000000}">
      <text>
        <r>
          <rPr>
            <sz val="11"/>
            <color theme="1"/>
            <rFont val="Calibri"/>
            <scheme val="minor"/>
          </rPr>
          <t>(forecast)
	-Kim Garratt</t>
        </r>
      </text>
    </comment>
    <comment ref="B106" authorId="0" shapeId="0" xr:uid="{00000000-0006-0000-1200-000050000000}">
      <text>
        <r>
          <rPr>
            <sz val="11"/>
            <color theme="1"/>
            <rFont val="Calibri"/>
            <scheme val="minor"/>
          </rPr>
          <t>unclear. see:
George Fisher Mine
Glencore Port Operations
Handlebar Hill Open Cut Mine
Mount Isa Mines
Undina Limestone Mine</t>
        </r>
      </text>
    </comment>
    <comment ref="B108" authorId="0" shapeId="0" xr:uid="{00000000-0006-0000-1200-000053000000}">
      <text>
        <r>
          <rPr>
            <sz val="11"/>
            <color theme="1"/>
            <rFont val="Calibri"/>
            <scheme val="minor"/>
          </rPr>
          <t>one of these:
Esso - Crude Oil Stabilisation Plant
Esso - Long Island Point
Offshore Facilities - Bass Strait</t>
        </r>
      </text>
    </comment>
    <comment ref="D108" authorId="0" shapeId="0" xr:uid="{00000000-0006-0000-1200-000054000000}">
      <text>
        <r>
          <rPr>
            <sz val="11"/>
            <color theme="1"/>
            <rFont val="Calibri"/>
            <scheme val="minor"/>
          </rPr>
          <t>Woodside own the BHP Petroleum 50% share now</t>
        </r>
      </text>
    </comment>
    <comment ref="BI115" authorId="0" shapeId="0" xr:uid="{00000000-0006-0000-1200-00005E000000}">
      <text>
        <r>
          <rPr>
            <sz val="11"/>
            <color theme="1"/>
            <rFont val="Calibri"/>
            <scheme val="minor"/>
          </rPr>
          <t>published as OneSteel Whyalla Steelworks</t>
        </r>
      </text>
    </comment>
    <comment ref="BJ115" authorId="0" shapeId="0" xr:uid="{00000000-0006-0000-1200-00005F000000}">
      <text>
        <r>
          <rPr>
            <sz val="11"/>
            <color theme="1"/>
            <rFont val="Calibri"/>
            <scheme val="minor"/>
          </rPr>
          <t>published as Liberty OneSteel Whyalla Steelworks</t>
        </r>
      </text>
    </comment>
    <comment ref="BW116" authorId="0" shapeId="0" xr:uid="{00000000-0006-0000-1200-000079000000}">
      <text>
        <r>
          <rPr>
            <sz val="11"/>
            <color theme="1"/>
            <rFont val="Calibri"/>
            <scheme val="minor"/>
          </rPr>
          <t>(forecast)
	-Kim Garratt</t>
        </r>
      </text>
    </comment>
    <comment ref="A125" authorId="0" shapeId="0" xr:uid="{00000000-0006-0000-1200-000063000000}">
      <text>
        <r>
          <rPr>
            <sz val="11"/>
            <color theme="1"/>
            <rFont val="Calibri"/>
            <scheme val="minor"/>
          </rPr>
          <t>formerly "Newlands Coal Complex" and "Newlands Coal Complex (NC Coal)"</t>
        </r>
      </text>
    </comment>
    <comment ref="E125" authorId="0" shapeId="0" xr:uid="{00000000-0006-0000-1200-000064000000}">
      <text>
        <r>
          <rPr>
            <sz val="11"/>
            <color theme="1"/>
            <rFont val="Calibri"/>
            <scheme val="minor"/>
          </rPr>
          <t>formerly 71079862936</t>
        </r>
      </text>
    </comment>
    <comment ref="BJ125" authorId="0" shapeId="0" xr:uid="{00000000-0006-0000-1200-000065000000}">
      <text>
        <r>
          <rPr>
            <sz val="11"/>
            <color theme="1"/>
            <rFont val="Calibri"/>
            <scheme val="minor"/>
          </rPr>
          <t>calculated by adding reported emissions for the two merged facilities together</t>
        </r>
      </text>
    </comment>
    <comment ref="BF140" authorId="0" shapeId="0" xr:uid="{00000000-0006-0000-1200-000043000000}">
      <text>
        <r>
          <rPr>
            <sz val="11"/>
            <color theme="1"/>
            <rFont val="Calibri"/>
            <scheme val="minor"/>
          </rPr>
          <t>a very surprising drop in baseline</t>
        </r>
      </text>
    </comment>
    <comment ref="D141" authorId="0" shapeId="0" xr:uid="{00000000-0006-0000-1200-00004C000000}">
      <text>
        <r>
          <rPr>
            <sz val="11"/>
            <color theme="1"/>
            <rFont val="Calibri"/>
            <scheme val="minor"/>
          </rPr>
          <t>Electric Power Development Co Ltd is J-Power</t>
        </r>
      </text>
    </comment>
    <comment ref="A143" authorId="0" shapeId="0" xr:uid="{00000000-0006-0000-1200-000059000000}">
      <text>
        <r>
          <rPr>
            <sz val="11"/>
            <color theme="1"/>
            <rFont val="Calibri"/>
            <scheme val="minor"/>
          </rPr>
          <t>aka Gruyere Gold Mine</t>
        </r>
      </text>
    </comment>
    <comment ref="BW151" authorId="0" shapeId="0" xr:uid="{00000000-0006-0000-1200-000042000000}">
      <text>
        <r>
          <rPr>
            <sz val="11"/>
            <color theme="1"/>
            <rFont val="Calibri"/>
            <scheme val="minor"/>
          </rPr>
          <t xml:space="preserve"> (forecast)</t>
        </r>
      </text>
    </comment>
    <comment ref="A160" authorId="0" shapeId="0" xr:uid="{00000000-0006-0000-1200-000062000000}">
      <text>
        <r>
          <rPr>
            <sz val="11"/>
            <color theme="1"/>
            <rFont val="Calibri"/>
            <scheme val="minor"/>
          </rPr>
          <t>formerly Montara Venture Floating Production Storage and Offloading Facility</t>
        </r>
      </text>
    </comment>
    <comment ref="E168" authorId="0" shapeId="0" xr:uid="{00000000-0006-0000-1200-00005D000000}">
      <text>
        <r>
          <rPr>
            <sz val="11"/>
            <color theme="1"/>
            <rFont val="Calibri"/>
            <scheme val="minor"/>
          </rPr>
          <t>at times has been 16 626 035 078</t>
        </r>
      </text>
    </comment>
    <comment ref="B178" authorId="0" shapeId="0" xr:uid="{00000000-0006-0000-1200-000067000000}">
      <text>
        <r>
          <rPr>
            <sz val="11"/>
            <color theme="1"/>
            <rFont val="Calibri"/>
            <scheme val="minor"/>
          </rPr>
          <t>Dead Bullock Soak Operations
Granites Operations
Groundrush
Minotaur-Windy Hill</t>
        </r>
      </text>
    </comment>
    <comment ref="B182" authorId="0" shapeId="0" xr:uid="{00000000-0006-0000-1200-000052000000}">
      <text>
        <r>
          <rPr>
            <sz val="11"/>
            <color theme="1"/>
            <rFont val="Calibri"/>
            <scheme val="minor"/>
          </rPr>
          <t>this is the 'super pit'</t>
        </r>
      </text>
    </comment>
    <comment ref="BU197" authorId="0" shapeId="0" xr:uid="{00000000-0006-0000-1200-000068000000}">
      <text>
        <r>
          <rPr>
            <sz val="11"/>
            <color theme="1"/>
            <rFont val="Calibri"/>
            <scheme val="minor"/>
          </rPr>
          <t>temporary closure</t>
        </r>
      </text>
    </comment>
    <comment ref="BV197" authorId="0" shapeId="0" xr:uid="{00000000-0006-0000-1200-000069000000}">
      <text>
        <r>
          <rPr>
            <sz val="11"/>
            <color theme="1"/>
            <rFont val="Calibri"/>
            <scheme val="minor"/>
          </rPr>
          <t>temporary closure</t>
        </r>
      </text>
    </comment>
    <comment ref="BW197" authorId="0" shapeId="0" xr:uid="{00000000-0006-0000-1200-00006A000000}">
      <text>
        <r>
          <rPr>
            <sz val="11"/>
            <color theme="1"/>
            <rFont val="Calibri"/>
            <scheme val="minor"/>
          </rPr>
          <t>temporary closure</t>
        </r>
      </text>
    </comment>
    <comment ref="B205" authorId="0" shapeId="0" xr:uid="{00000000-0006-0000-1200-00006D000000}">
      <text>
        <r>
          <rPr>
            <sz val="11"/>
            <color theme="1"/>
            <rFont val="Calibri"/>
            <scheme val="minor"/>
          </rPr>
          <t>Brisbane Airport
QF ETOMS Heavy Maintenance Group Bankstown
Qantas - Adelaide Airport
Qantas - Perth Airport
Qantas Sydney
Tullamarine Airport</t>
        </r>
      </text>
    </comment>
    <comment ref="BW209" authorId="0" shapeId="0" xr:uid="{00000000-0006-0000-1200-000060000000}">
      <text>
        <r>
          <rPr>
            <sz val="11"/>
            <color theme="1"/>
            <rFont val="Calibri"/>
            <scheme val="minor"/>
          </rPr>
          <t>clean coal</t>
        </r>
      </text>
    </comment>
    <comment ref="B210" authorId="0" shapeId="0" xr:uid="{00000000-0006-0000-1200-00004F000000}">
      <text>
        <r>
          <rPr>
            <sz val="11"/>
            <color theme="1"/>
            <rFont val="Calibri"/>
            <scheme val="minor"/>
          </rPr>
          <t>unclear. see:
Cooktown
Dajarra
Jundah
Kajabbi
Mabuiag Island
Stephens Island
Warrber Island
Winton
Coconut Island
Dauan Island
Hammond Island
Windorah</t>
        </r>
      </text>
    </comment>
    <comment ref="B211" authorId="0" shapeId="0" xr:uid="{00000000-0006-0000-1200-00003F000000}">
      <text>
        <r>
          <rPr>
            <sz val="11"/>
            <color theme="1"/>
            <rFont val="Calibri"/>
            <scheme val="minor"/>
          </rPr>
          <t>could be any/all/none of:
Acacia Ridge Rail Yards
Aurizon Port Services Townsville
Barney Point Rail Fuelling Facility
Callemondah Rail Yard (Fuelling Facility)
Emerald Rail Fuelling Facility
Hughenden Rail Fuelling Facility
Jilalan Rail Yard
Mackay (Paget) Rail Fuelling Facility
Mount Isa Rail Fuelling Facility
Pring Rail Fuelling Facility
Rollingstock Maintenance Rockhampton
Stuart Railway Facility
Toowoomba Willowburn
Whyte Island (Brisbane) Fuelling Facility</t>
        </r>
      </text>
    </comment>
    <comment ref="BS214" authorId="0" shapeId="0" xr:uid="{00000000-0006-0000-1200-000045000000}">
      <text>
        <r>
          <rPr>
            <sz val="11"/>
            <color theme="1"/>
            <rFont val="Calibri"/>
            <scheme val="minor"/>
          </rPr>
          <t>no production recorded in Mining Data for this year</t>
        </r>
      </text>
    </comment>
    <comment ref="BW214" authorId="0" shapeId="0" xr:uid="{00000000-0006-0000-1200-000046000000}">
      <text>
        <r>
          <rPr>
            <sz val="11"/>
            <color theme="1"/>
            <rFont val="Calibri"/>
            <scheme val="minor"/>
          </rPr>
          <t>no production recorded in Mining Data for this year</t>
        </r>
      </text>
    </comment>
    <comment ref="B216" authorId="0" shapeId="0" xr:uid="{00000000-0006-0000-1200-00004E000000}">
      <text>
        <r>
          <rPr>
            <sz val="11"/>
            <color theme="1"/>
            <rFont val="Calibri"/>
            <scheme val="minor"/>
          </rPr>
          <t>includes all three of:
Garden Well &amp; Rosemont Gold Mines
Moolart Well Gold Mine
Rosemont Operations</t>
        </r>
      </text>
    </comment>
    <comment ref="A225" authorId="0" shapeId="0" xr:uid="{00000000-0006-0000-1200-000073000000}">
      <text>
        <r>
          <rPr>
            <sz val="11"/>
            <color theme="1"/>
            <rFont val="Calibri"/>
            <scheme val="minor"/>
          </rPr>
          <t>aka Western Turner Syncline Mine</t>
        </r>
      </text>
    </comment>
    <comment ref="BW267" authorId="0" shapeId="0" xr:uid="{00000000-0006-0000-1200-000061000000}">
      <text>
        <r>
          <rPr>
            <sz val="11"/>
            <color theme="1"/>
            <rFont val="Calibri"/>
            <scheme val="minor"/>
          </rPr>
          <t>temporary closure</t>
        </r>
      </text>
    </comment>
    <comment ref="B268" authorId="0" shapeId="0" xr:uid="{00000000-0006-0000-1200-00005A000000}">
      <text>
        <r>
          <rPr>
            <sz val="11"/>
            <color theme="1"/>
            <rFont val="Calibri"/>
            <scheme val="minor"/>
          </rPr>
          <t>could be any/multiple of:
MOMS and MCS (Munmorah Offtake and Metering Station and Compressor Station)
Munmorah Delivery Station
Albion Park Main Line Valve
Appin Main Line Valve
Austral Main Line Valve
Bomaderry Main Line Valve and Meter Station
Bombala Meter Station
Cooma Main Line Valve and Meter Stattion
Horsley Park Meter Station
Kembla Grange Main Line Valve
Menangle Park Main Line Valve
Michelago Compressor Station
Michelago Main Line Valve
Mila Compressor Station
Mila Scraper Station
Molonglo Main Line Valve
Nowra Main Line Valve and Meter Station
Oallen Scraper Station
OBriens Gap Main Line Valve
Port Kembla Meter Station
Raby Road Main Line Valve
Smithfield Meter Station
Smithfield Receiver Station
Tallawarra MLV and Meter Station
Wilton Meter Station
Yallah Main Line Valve
Tallawara Meter Station</t>
        </r>
      </text>
    </comment>
    <comment ref="B297" authorId="0" shapeId="0" xr:uid="{00000000-0006-0000-1200-00006C000000}">
      <text>
        <r>
          <rPr>
            <sz val="11"/>
            <color theme="1"/>
            <rFont val="Calibri"/>
            <scheme val="minor"/>
          </rPr>
          <t>Pluto - 02, 03 &amp; 04
Pluto 5
Pluto 6
Pluto Offshore Platform
Pluto Onshore Gas Treatment Plant
Pluto-4</t>
        </r>
      </text>
    </comment>
    <comment ref="B298" authorId="0" shapeId="0" xr:uid="{00000000-0006-0000-1200-000074000000}">
      <text>
        <r>
          <rPr>
            <sz val="11"/>
            <color theme="1"/>
            <rFont val="Calibri"/>
            <scheme val="minor"/>
          </rPr>
          <t>Vincent 3 G1
Vincent G-1
Vincent Interventions
Vincent VNA
Vincent VNB-H1-ST2
Vincent VNC-W2</t>
        </r>
      </text>
    </comment>
    <comment ref="B301" authorId="0" shapeId="0" xr:uid="{00000000-0006-0000-1200-00006B000000}">
      <text>
        <r>
          <rPr>
            <sz val="11"/>
            <color theme="1"/>
            <rFont val="Calibri"/>
            <scheme val="minor"/>
          </rPr>
          <t>WA0431        Marine 500 Drill Rig - Enfield 3 Well
WA0435        Marine 500 Drill Rig - Gaea 1 Well
WA0434        Sedco 702 Drill Rig - Castor 1 Well
WA0433        Sedco 702 Drill Rig - Cavalier 1 Well
WA0432        Sedco 702 Drill Rig - Lambert 5 Well</t>
        </r>
      </text>
    </comment>
    <comment ref="BW304" authorId="0" shapeId="0" xr:uid="{00000000-0006-0000-1200-000075000000}">
      <text>
        <r>
          <rPr>
            <sz val="11"/>
            <color theme="1"/>
            <rFont val="Calibri"/>
            <scheme val="minor"/>
          </rPr>
          <t>(saleable)</t>
        </r>
      </text>
    </comment>
    <comment ref="BV305" authorId="0" shapeId="0" xr:uid="{00000000-0006-0000-1200-000076000000}">
      <text>
        <r>
          <rPr>
            <sz val="11"/>
            <color theme="1"/>
            <rFont val="Calibri"/>
            <scheme val="minor"/>
          </rPr>
          <t>(Open-cut: 14,110,932 + Underground: 7,545,551)
	-Kim Garratt</t>
        </r>
      </text>
    </comment>
    <comment ref="BW305" authorId="0" shapeId="0" xr:uid="{00000000-0006-0000-1200-000077000000}">
      <text>
        <r>
          <rPr>
            <sz val="11"/>
            <color theme="1"/>
            <rFont val="Calibri"/>
            <scheme val="minor"/>
          </rPr>
          <t>22,440,304 (Open-cut: 14,440,304 (forecast); Underground: 8,000,000 (forecast))
	-Kim Garratt</t>
        </r>
      </text>
    </comment>
    <comment ref="BW307" authorId="0" shapeId="0" xr:uid="{00000000-0006-0000-1200-000041000000}">
      <text>
        <r>
          <rPr>
            <sz val="11"/>
            <color theme="1"/>
            <rFont val="Calibri"/>
            <scheme val="minor"/>
          </rPr>
          <t>temporary closure</t>
        </r>
      </text>
    </comment>
    <comment ref="BT308" authorId="0" shapeId="0" xr:uid="{00000000-0006-0000-1200-00003B000000}">
      <text>
        <r>
          <rPr>
            <sz val="11"/>
            <color theme="1"/>
            <rFont val="Calibri"/>
            <scheme val="minor"/>
          </rPr>
          <t>temporary closure</t>
        </r>
      </text>
    </comment>
    <comment ref="BU308" authorId="0" shapeId="0" xr:uid="{00000000-0006-0000-1200-00003C000000}">
      <text>
        <r>
          <rPr>
            <sz val="11"/>
            <color theme="1"/>
            <rFont val="Calibri"/>
            <scheme val="minor"/>
          </rPr>
          <t>temporary closure</t>
        </r>
      </text>
    </comment>
    <comment ref="BV308" authorId="0" shapeId="0" xr:uid="{00000000-0006-0000-1200-00003D000000}">
      <text>
        <r>
          <rPr>
            <sz val="11"/>
            <color theme="1"/>
            <rFont val="Calibri"/>
            <scheme val="minor"/>
          </rPr>
          <t>temporary closure</t>
        </r>
      </text>
    </comment>
    <comment ref="BW308" authorId="0" shapeId="0" xr:uid="{00000000-0006-0000-1200-00003E000000}">
      <text>
        <r>
          <rPr>
            <sz val="11"/>
            <color theme="1"/>
            <rFont val="Calibri"/>
            <scheme val="minor"/>
          </rPr>
          <t>temporary closure</t>
        </r>
      </text>
    </comment>
  </commentList>
</comments>
</file>

<file path=xl/sharedStrings.xml><?xml version="1.0" encoding="utf-8"?>
<sst xmlns="http://schemas.openxmlformats.org/spreadsheetml/2006/main" count="10232" uniqueCount="2094">
  <si>
    <t>Permissions Policy and License</t>
  </si>
  <si>
    <t>The Australian Conservation Foundation is the copyright holder for material published or otherwise created by ACF and its staff.</t>
  </si>
  <si>
    <t>If you are a journalist with a query for ACF, including queries about this data or the reuse of this material, contact Josh Meadows on 0439 342 992 or Freya Cole on 0477 638 774. For all other enquiries please call 1800 223 669 or email action@mail.acf.org.au</t>
  </si>
  <si>
    <t>acf.org.au</t>
  </si>
  <si>
    <t>ANZSIC primary class names</t>
  </si>
  <si>
    <t>Industry (ACF use, not official)</t>
  </si>
  <si>
    <t>Baseline determination types</t>
  </si>
  <si>
    <t>states and territorities</t>
  </si>
  <si>
    <t>Basins</t>
  </si>
  <si>
    <t>mine type</t>
  </si>
  <si>
    <t>coal measures</t>
  </si>
  <si>
    <t>status</t>
  </si>
  <si>
    <t>mining methods</t>
  </si>
  <si>
    <t>coal quality</t>
  </si>
  <si>
    <t>Y/N</t>
  </si>
  <si>
    <t>Expansion/extension status</t>
  </si>
  <si>
    <t>Alumina Production</t>
  </si>
  <si>
    <t>aluminium mining, smelting, extruding and alumina production</t>
  </si>
  <si>
    <t>Calculated Baseline: inherent emissions variability</t>
  </si>
  <si>
    <t>ACT</t>
  </si>
  <si>
    <t>Arckaringa Basin</t>
  </si>
  <si>
    <t>open cut</t>
  </si>
  <si>
    <t>Newcastle Coal Measures</t>
  </si>
  <si>
    <t>merged</t>
  </si>
  <si>
    <t>longwall</t>
  </si>
  <si>
    <t>100% met</t>
  </si>
  <si>
    <t>yes</t>
  </si>
  <si>
    <t>Approved</t>
  </si>
  <si>
    <t>Aluminium Rolling, Drawing, Extruding</t>
  </si>
  <si>
    <t>Coal Mining</t>
  </si>
  <si>
    <t>Multi-year monitoring period (underlying BDT: Calculated baseline: Inherent emissions variability criteria)</t>
  </si>
  <si>
    <t>NSW</t>
  </si>
  <si>
    <t>Ashford Basin</t>
  </si>
  <si>
    <t>underground</t>
  </si>
  <si>
    <t>Walloon</t>
  </si>
  <si>
    <t>operating</t>
  </si>
  <si>
    <t>100% thermal</t>
  </si>
  <si>
    <t>no</t>
  </si>
  <si>
    <t>Assessment</t>
  </si>
  <si>
    <t>Aluminium Smelting</t>
  </si>
  <si>
    <t>Concrete and cement</t>
  </si>
  <si>
    <t>Calculated: Initial calculated baseline criteria</t>
  </si>
  <si>
    <t>NT</t>
  </si>
  <si>
    <t>Bowen Basin</t>
  </si>
  <si>
    <t>combined</t>
  </si>
  <si>
    <t>Whittingham</t>
  </si>
  <si>
    <t>permanently closed</t>
  </si>
  <si>
    <t>could not find data</t>
  </si>
  <si>
    <t>unsure</t>
  </si>
  <si>
    <t>Committed</t>
  </si>
  <si>
    <t>Bauxite Mining</t>
  </si>
  <si>
    <t>Fossil Fuel Electricity Generation</t>
  </si>
  <si>
    <t>Multi-year monitoring period (underlying BDT: Calculated baseline: Initial calculated baseline criteria)</t>
  </si>
  <si>
    <t>QLD</t>
  </si>
  <si>
    <t>Callide Basin</t>
  </si>
  <si>
    <t>suspended</t>
  </si>
  <si>
    <t>mix: majority met</t>
  </si>
  <si>
    <t>Completed</t>
  </si>
  <si>
    <t>Gas and oil</t>
  </si>
  <si>
    <t>Calculated: New facility criteria</t>
  </si>
  <si>
    <t>SA</t>
  </si>
  <si>
    <t>Canning Basin</t>
  </si>
  <si>
    <t>mix: majority thermal</t>
  </si>
  <si>
    <t>Feasibility</t>
  </si>
  <si>
    <t>Cement and Lime Manufacturing</t>
  </si>
  <si>
    <t>Iron and steel</t>
  </si>
  <si>
    <t>Multi-year monitoring period (underlying BDT: Calculated baseline: New facility criteria)</t>
  </si>
  <si>
    <t>TAS</t>
  </si>
  <si>
    <t>Clarence-Moreton Basin</t>
  </si>
  <si>
    <t>mix: unknown ratio</t>
  </si>
  <si>
    <t>n/a</t>
  </si>
  <si>
    <t>Concrete Product Manufacturing</t>
  </si>
  <si>
    <t>Manufacturing</t>
  </si>
  <si>
    <t>Calculated: Transitional calculated baseline criteria</t>
  </si>
  <si>
    <t>VIC</t>
  </si>
  <si>
    <t>Collie Basin</t>
  </si>
  <si>
    <t>n/a (not a coal facility)</t>
  </si>
  <si>
    <t>Publicly announced</t>
  </si>
  <si>
    <t>Concreting Services</t>
  </si>
  <si>
    <t>All other facilities</t>
  </si>
  <si>
    <t>Multi-year monitoring period (underlying BDT: Calculated baseline: Transitional calculated baseline criteria)</t>
  </si>
  <si>
    <t>WA</t>
  </si>
  <si>
    <t>Eromanga Basin</t>
  </si>
  <si>
    <t>Withdrawn</t>
  </si>
  <si>
    <t>Ready-Mixed Concrete Manufacturing</t>
  </si>
  <si>
    <t>Waste</t>
  </si>
  <si>
    <t>Default</t>
  </si>
  <si>
    <t>Eucla Basin</t>
  </si>
  <si>
    <t>Beef Cattle Farming (Specialised)</t>
  </si>
  <si>
    <t>Multi-year monitoring period (underlying BDT: no other baseline determination type available but assumed default)</t>
  </si>
  <si>
    <t>Galilee Basin</t>
  </si>
  <si>
    <t>Beef Cattle Feedlots (Specialised)</t>
  </si>
  <si>
    <t>Emissions intensity variation</t>
  </si>
  <si>
    <t>Gippsland Basin</t>
  </si>
  <si>
    <t>Dairy Cattle Farming</t>
  </si>
  <si>
    <t>Multi-year monitoring period (underlying BDT: Emissions intensity variation)</t>
  </si>
  <si>
    <t>Gloucester Basin</t>
  </si>
  <si>
    <t>Pig Farming</t>
  </si>
  <si>
    <t>Production-adjusted baseline</t>
  </si>
  <si>
    <t>Gunnedah Basin</t>
  </si>
  <si>
    <t>Poultry Farming (Eggs)</t>
  </si>
  <si>
    <t>Multi-year monitoring period (underlying BDT: Production-adjusted baseline)</t>
  </si>
  <si>
    <t>Ipswich Basin</t>
  </si>
  <si>
    <t>Poultry Farming (Meat)</t>
  </si>
  <si>
    <t>Laura Basin</t>
  </si>
  <si>
    <t>Poultry Processing</t>
  </si>
  <si>
    <t>Reported baseline</t>
  </si>
  <si>
    <t>Leigh Creek</t>
  </si>
  <si>
    <t>Multi-year monitoring period (underlying BDT: Reported baseline)</t>
  </si>
  <si>
    <t>Maryborough Basin</t>
  </si>
  <si>
    <t>Gas Supply</t>
  </si>
  <si>
    <t>Multi-year monitoring period (underlying BDT: no other baseline determination type available and none can be assumed)</t>
  </si>
  <si>
    <t>Mulgildie Basin</t>
  </si>
  <si>
    <t>Petroleum Exploration</t>
  </si>
  <si>
    <t>no baseline</t>
  </si>
  <si>
    <t>Murray Basin</t>
  </si>
  <si>
    <t>Petroleum Product Wholesaling</t>
  </si>
  <si>
    <t>n/a see note</t>
  </si>
  <si>
    <t>n/a (not a fossil fuel facility)</t>
  </si>
  <si>
    <t>Petroleum Refining and Petroleum Fuel Manufacturing</t>
  </si>
  <si>
    <t>Oaklands Basin</t>
  </si>
  <si>
    <t>Oil and Gas Extraction</t>
  </si>
  <si>
    <t>Otway Basin</t>
  </si>
  <si>
    <t>Gold Ore Mining</t>
  </si>
  <si>
    <t>Perth Basin</t>
  </si>
  <si>
    <t>Iron Ore Mining</t>
  </si>
  <si>
    <t>Polda Basin</t>
  </si>
  <si>
    <t>Iron and Steel Casting</t>
  </si>
  <si>
    <t>St Vincent Basin</t>
  </si>
  <si>
    <t>Iron and Steel Forging</t>
  </si>
  <si>
    <t>Styx Basin</t>
  </si>
  <si>
    <t>Iron Smelting and Steel Manufacturing</t>
  </si>
  <si>
    <t>Surat Basin</t>
  </si>
  <si>
    <t>Structural Steel Fabricating</t>
  </si>
  <si>
    <t>Sydney Basin</t>
  </si>
  <si>
    <t>Adhesive Manufacturing</t>
  </si>
  <si>
    <t>Tarong Basin</t>
  </si>
  <si>
    <t>Aircraft Manufacturing and Repair Services</t>
  </si>
  <si>
    <t>Tasmania Basin</t>
  </si>
  <si>
    <t>Basic Inorganic Chemical Manufacturing</t>
  </si>
  <si>
    <t>Basic Organic Chemical Manufacturing</t>
  </si>
  <si>
    <t>Beer Manufacturing</t>
  </si>
  <si>
    <t>Biscuit Manufacturing (Factory based)</t>
  </si>
  <si>
    <t>Boiler, Tank and Other Heavy Gauge Metal Container Manufacturing</t>
  </si>
  <si>
    <t>Bread Manufacturing (Factory based)</t>
  </si>
  <si>
    <t>Cake and Pastry Manufacturing (Factory based)</t>
  </si>
  <si>
    <t>Cereal, Pasta and Baking Mix Manufacturing</t>
  </si>
  <si>
    <t>Cheese and Other Dairy Product Manufacturing</t>
  </si>
  <si>
    <t>Cigarette and Tobacco Product Manufacturing</t>
  </si>
  <si>
    <t>Clay Brick Manufacturing</t>
  </si>
  <si>
    <t>Cleaning Compound Manufacturing</t>
  </si>
  <si>
    <t>Clothing Manufacturing</t>
  </si>
  <si>
    <t>Confectionery Manufacturing</t>
  </si>
  <si>
    <t>Corrugated Paperboard and Paperboard Container Manufacturing</t>
  </si>
  <si>
    <t>Cosmetic and Toiletry Preparation Manufacturing</t>
  </si>
  <si>
    <t>Cured Meat and Smallgoods Manufacturing</t>
  </si>
  <si>
    <t>Cut and Sewn Textile Product Manufacturing</t>
  </si>
  <si>
    <t>Electric Cable and Wire Manufacturing</t>
  </si>
  <si>
    <t>Explosive Manufacturing</t>
  </si>
  <si>
    <t>Fertiliser Manufacturing</t>
  </si>
  <si>
    <t>Fixed Space Heating, Cooling and Ventilation Equipment Manufacturing</t>
  </si>
  <si>
    <t>Glass and Glass Product Manufacturing</t>
  </si>
  <si>
    <t>Grain Mill Product Manufacturing</t>
  </si>
  <si>
    <t>Human Pharmaceutical and Medicinal Product Manufacturing</t>
  </si>
  <si>
    <t>Ice Cream Manufacturing</t>
  </si>
  <si>
    <t>Industrial Gas Manufacturing</t>
  </si>
  <si>
    <t>Jewellery and Silverware Manufacturing</t>
  </si>
  <si>
    <t>Leather Tanning, Fur Dressing and Leather Product Manufacturing</t>
  </si>
  <si>
    <t>Machine Tool and Parts Manufacturing</t>
  </si>
  <si>
    <t>Medical and Surgical Equipment Manufacturing</t>
  </si>
  <si>
    <t>Motor Vehicle Manufacturing</t>
  </si>
  <si>
    <t>Natural Rubber Product Manufacturing</t>
  </si>
  <si>
    <t>Natural Textile Manufacturing</t>
  </si>
  <si>
    <t>Nut, Bolt, Screw and Rivet Manufacturing</t>
  </si>
  <si>
    <t>Oil and Fat Manufacturing</t>
  </si>
  <si>
    <t>Other Basic Chemical Product Manufacturing n.e.c.</t>
  </si>
  <si>
    <t>Other Basic Non-Ferrous Metal Manufacturing</t>
  </si>
  <si>
    <t>Other Basic Non-Ferrous Metal Product Manufacturing</t>
  </si>
  <si>
    <t>Other Basic Polymer Manufacturing</t>
  </si>
  <si>
    <t>Other Ceramic Product Manufacturing</t>
  </si>
  <si>
    <t>Other Construction Material Mining</t>
  </si>
  <si>
    <t>Other Converted Paper Product Manufacturing</t>
  </si>
  <si>
    <t>Other Electrical Equipment Manufacturing</t>
  </si>
  <si>
    <t>Other Fabricated Metal Product Manufacturing n.e.c.</t>
  </si>
  <si>
    <t>Other Food Product Manufacturing n.e.c.</t>
  </si>
  <si>
    <t>Other Manufacturing n.e.c.</t>
  </si>
  <si>
    <t>Other Metal Container Manufacturing</t>
  </si>
  <si>
    <t>Other Motor Vehicle Parts Manufacturing</t>
  </si>
  <si>
    <t>Other Non-Metallic Mineral Product Manufacturing</t>
  </si>
  <si>
    <t>Other Petroleum and Coal Product Manufacturing</t>
  </si>
  <si>
    <t>Other Polymer Product Manufacturing</t>
  </si>
  <si>
    <t>Other Professional and Scientific Equipment Manufacturing</t>
  </si>
  <si>
    <t>Other Specialised Machinery and Equipment Manufacturing</t>
  </si>
  <si>
    <t>Other Structural Metal Product Manufacturing</t>
  </si>
  <si>
    <t>Other Wood Product Manufacturing n.e.c.</t>
  </si>
  <si>
    <t>Paint and Coatings Manufacturing</t>
  </si>
  <si>
    <t>Paper Bag Manufacturing</t>
  </si>
  <si>
    <t>Pesticide Manufacturing</t>
  </si>
  <si>
    <t>Photographic, Optical and Ophthalmic Equipment Manufacturing</t>
  </si>
  <si>
    <t>Plaster Product Manufacturing</t>
  </si>
  <si>
    <t>Polymer Film and Sheet Packaging Material Manufacturing</t>
  </si>
  <si>
    <t>Polymer Foam Product Manufacturing</t>
  </si>
  <si>
    <t>Potato, Corn and Other Crisp Manufacturing</t>
  </si>
  <si>
    <t>Prepared Animal and Bird Feed Manufacturing</t>
  </si>
  <si>
    <t>Pulp, Paper and Paperboard Manufacturing</t>
  </si>
  <si>
    <t>Railway Rolling Stock Manufacturing and Repair Services</t>
  </si>
  <si>
    <t>Reconstituted Wood Product Manufacturing</t>
  </si>
  <si>
    <t>Rigid and Semi-Rigid Polymer Product Manufacturing</t>
  </si>
  <si>
    <t>Soft Drink, Cordial and Syrup Manufacturing</t>
  </si>
  <si>
    <t>Spirit Manufacturing</t>
  </si>
  <si>
    <t>Spring and Wire Product Manufacturing</t>
  </si>
  <si>
    <t>Steel Pipe and Tube Manufacturing</t>
  </si>
  <si>
    <t>Sugar Manufacturing</t>
  </si>
  <si>
    <t>Synthetic Resin and Synthetic Rubber Manufacturing</t>
  </si>
  <si>
    <t>Synthetic Textile Manufacturing</t>
  </si>
  <si>
    <t>Textile Finishing and Other Textile Product Manufacturing</t>
  </si>
  <si>
    <t>Textile Floor Covering Manufacturing</t>
  </si>
  <si>
    <t>Tyre Manufacturing</t>
  </si>
  <si>
    <t>Veneer and Plywood Manufacturing</t>
  </si>
  <si>
    <t>Veterinary Pharmaceutical and Medicinal Product Manufacturing</t>
  </si>
  <si>
    <t>Whiteware Appliance Manufacturing</t>
  </si>
  <si>
    <t>Wine and Other Alcoholic Beverage Manufacturing</t>
  </si>
  <si>
    <t>Wooden Furniture and Upholstered Seat Manufacturing</t>
  </si>
  <si>
    <t>Wooden Structural Fitting and Component Manufacturing</t>
  </si>
  <si>
    <t>Copper Ore Mining</t>
  </si>
  <si>
    <t>Nickel Ore Mining</t>
  </si>
  <si>
    <t>Other Metal Ore Mining</t>
  </si>
  <si>
    <t>Silver-Lead-Zinc Ore Mining</t>
  </si>
  <si>
    <t>Copper, Silver, Lead and Zinc Smelting and Refining</t>
  </si>
  <si>
    <t>Non-Ferrous Metal Casting</t>
  </si>
  <si>
    <t>Accommodation</t>
  </si>
  <si>
    <t>Boatbuilding and Repair Services</t>
  </si>
  <si>
    <t>Central Government Administration</t>
  </si>
  <si>
    <t>Data Processing and Web Hosting Services</t>
  </si>
  <si>
    <t>Defence</t>
  </si>
  <si>
    <t>Fruit and Vegetable Processing</t>
  </si>
  <si>
    <t>Funeral, Crematorium and Cemetery Services</t>
  </si>
  <si>
    <t>Grain Storage Services</t>
  </si>
  <si>
    <t>Higher Education</t>
  </si>
  <si>
    <t>Hospitals (Except Psychiatric Hospitals)</t>
  </si>
  <si>
    <t>Industrial and Agricultural Chemical Product Wholesaling</t>
  </si>
  <si>
    <t>Laundry and Dry-Cleaning Services</t>
  </si>
  <si>
    <t>Log Sawmilling</t>
  </si>
  <si>
    <t>Meat Processing</t>
  </si>
  <si>
    <t>Metal Coating and Finishing</t>
  </si>
  <si>
    <t>Milk and Cream Processing</t>
  </si>
  <si>
    <t>Motor Vehicle New Parts Wholesaling</t>
  </si>
  <si>
    <t>Newspaper Publishing</t>
  </si>
  <si>
    <t>Office Administrative Services</t>
  </si>
  <si>
    <t>Other Warehousing and Storage Services</t>
  </si>
  <si>
    <t>Packaging Services</t>
  </si>
  <si>
    <t>Printing</t>
  </si>
  <si>
    <t>Printing Support Services</t>
  </si>
  <si>
    <t>Scientific Research Services</t>
  </si>
  <si>
    <t>Seafood Processing</t>
  </si>
  <si>
    <t>Sewerage and Drainage Services</t>
  </si>
  <si>
    <t>Shipbuilding and Repair Services</t>
  </si>
  <si>
    <t>Sports and Physical Recreation Venues, Grounds and Facilities Operation</t>
  </si>
  <si>
    <t>Stevedoring Services</t>
  </si>
  <si>
    <t>Timber Resawing and Dressing</t>
  </si>
  <si>
    <t>Timber Wholesaling</t>
  </si>
  <si>
    <t>Water Supply</t>
  </si>
  <si>
    <t>Wood Chipping</t>
  </si>
  <si>
    <t>Wool Scouring</t>
  </si>
  <si>
    <t>Hydro-Electricity Generation</t>
  </si>
  <si>
    <t>Other Electricity Generation</t>
  </si>
  <si>
    <t>Gravel and Sand Quarrying</t>
  </si>
  <si>
    <t>Mineral Exploration</t>
  </si>
  <si>
    <t>Mineral Sand Mining</t>
  </si>
  <si>
    <t>Mining and Construction Machinery Manufacturing</t>
  </si>
  <si>
    <t>Other Mining Support Services</t>
  </si>
  <si>
    <t>Other Non-Metallic Mineral Mining and Quarrying</t>
  </si>
  <si>
    <t>Air and Space Transport</t>
  </si>
  <si>
    <t>Airport Operations and Other Air Transport Support Services</t>
  </si>
  <si>
    <t>Other Transport n.e.c.</t>
  </si>
  <si>
    <t>Other Transport Support Services n.e.c.</t>
  </si>
  <si>
    <t>Pipeline Transport</t>
  </si>
  <si>
    <t>Port and Water Transport Terminal Operations</t>
  </si>
  <si>
    <t>Rail Freight Transport</t>
  </si>
  <si>
    <t>Rail Passenger Transport</t>
  </si>
  <si>
    <t>Road Freight Transport</t>
  </si>
  <si>
    <t>Urban Bus Transport (Including Tramway)</t>
  </si>
  <si>
    <t>Water Freight Transport</t>
  </si>
  <si>
    <t>Water Passenger Transport</t>
  </si>
  <si>
    <t>Other Waste Collection Services</t>
  </si>
  <si>
    <t>Solid Waste Collection Services</t>
  </si>
  <si>
    <t>Waste Remediation and Materials Recovery Services</t>
  </si>
  <si>
    <t>Waste Treatment and Disposal Services</t>
  </si>
  <si>
    <t>vlookup index --&gt;</t>
  </si>
  <si>
    <t>Facility name</t>
  </si>
  <si>
    <t>CER Facility name</t>
  </si>
  <si>
    <t>1. Solid Waste Services - MRL</t>
  </si>
  <si>
    <t>no data</t>
  </si>
  <si>
    <t>Abel Underground Coal Mine</t>
  </si>
  <si>
    <t>AER Rail Freight QLD</t>
  </si>
  <si>
    <t>Angaston Operations</t>
  </si>
  <si>
    <t>APLNG Facility</t>
  </si>
  <si>
    <t>APN01 Appin Colliery - ICH Facility</t>
  </si>
  <si>
    <t>Port Kembla</t>
  </si>
  <si>
    <t>APU01 Pyrenees - AOA Facility</t>
  </si>
  <si>
    <t>ARC01 Mining Area C - MNG Facility</t>
  </si>
  <si>
    <t>Arcadia</t>
  </si>
  <si>
    <t>Ashton Coal Mine (Underground)</t>
  </si>
  <si>
    <t>ATCO Gas Australia Pty Ltd</t>
  </si>
  <si>
    <t>Aurizon Rail Freight NSW</t>
  </si>
  <si>
    <t>Aurizon Rail Freight QLD</t>
  </si>
  <si>
    <t>Aurizon Rail Freight WA</t>
  </si>
  <si>
    <t>AusNet Gas Services Pty Ltd</t>
  </si>
  <si>
    <t>Austar Coal Mine (Underground)</t>
  </si>
  <si>
    <t>Australian Gas Networks (SA) Ltd</t>
  </si>
  <si>
    <t>Australian Gas Networks (Vic) Pty Ltd</t>
  </si>
  <si>
    <t>AWR Rail Freight WA</t>
  </si>
  <si>
    <t>Ballera</t>
  </si>
  <si>
    <t>Baralaba Coal Mine</t>
  </si>
  <si>
    <t>Basker Manta Gummy</t>
  </si>
  <si>
    <t>Batchfire Resources No.1</t>
  </si>
  <si>
    <t>Bell Bay Smelter</t>
  </si>
  <si>
    <t>Beltana / Blakefield South</t>
  </si>
  <si>
    <t>Bengalla Operations</t>
  </si>
  <si>
    <t>Big Lake Gas</t>
  </si>
  <si>
    <t>Birkenhead Operations</t>
  </si>
  <si>
    <t>Blackwater Mine</t>
  </si>
  <si>
    <t>Blair Athol Mine</t>
  </si>
  <si>
    <t>Boggabri Coal Minesite</t>
  </si>
  <si>
    <t>Boyne Smelters Limited</t>
  </si>
  <si>
    <t>Brockman 2 / Nammuldi Mines</t>
  </si>
  <si>
    <t>Brockman 4 Mine</t>
  </si>
  <si>
    <t>Bulga Coal Complex</t>
  </si>
  <si>
    <t>Bulga Opencut</t>
  </si>
  <si>
    <t>Burton Mine</t>
  </si>
  <si>
    <t>Byerwen Mine</t>
  </si>
  <si>
    <t>Cadia Valley Operations</t>
  </si>
  <si>
    <t>CAN01</t>
  </si>
  <si>
    <t>Capcoal Mine</t>
  </si>
  <si>
    <t>Cape Lambert Port Operations</t>
  </si>
  <si>
    <t>Carborough Downs coal mine</t>
  </si>
  <si>
    <t>Carmichael Coal Mine</t>
  </si>
  <si>
    <t>Carosue Dam</t>
  </si>
  <si>
    <t>Caval Ridge Mine</t>
  </si>
  <si>
    <t>CEM NSW Berrima</t>
  </si>
  <si>
    <t>CEM NSW Maldon</t>
  </si>
  <si>
    <t>CEM NSW Marulan</t>
  </si>
  <si>
    <t>CEM VIC Waurn Ponds</t>
  </si>
  <si>
    <t>Central Mine</t>
  </si>
  <si>
    <t>Chain Valley Colliery</t>
  </si>
  <si>
    <t>Chandala Processing Plant</t>
  </si>
  <si>
    <t>Charbon Lime Manufacturing Plant</t>
  </si>
  <si>
    <t>Christmas Creek Mine</t>
  </si>
  <si>
    <t>Clermont Coal Operations</t>
  </si>
  <si>
    <t>Cloudbreak Mine</t>
  </si>
  <si>
    <t>Clyde Terminal</t>
  </si>
  <si>
    <t>Cockburn Operations</t>
  </si>
  <si>
    <t>Collinsville Mine</t>
  </si>
  <si>
    <t>Condabri</t>
  </si>
  <si>
    <t>Cook Colliery</t>
  </si>
  <si>
    <t>Coppabella Coal Mine</t>
  </si>
  <si>
    <t>CSBP Kwinana Facility</t>
  </si>
  <si>
    <t>Curragh Mine</t>
  </si>
  <si>
    <t>Curtis Island GLNG Plant</t>
  </si>
  <si>
    <t>Daandine Operations</t>
  </si>
  <si>
    <t>Dandenong</t>
  </si>
  <si>
    <t>Dartbrook Coal Mine</t>
  </si>
  <si>
    <t>Darwin LNG Plant</t>
  </si>
  <si>
    <t>Daunia Mine</t>
  </si>
  <si>
    <t>Dawson Mine</t>
  </si>
  <si>
    <t>DBNGP</t>
  </si>
  <si>
    <t>DEN01</t>
  </si>
  <si>
    <t>Dongara Operations</t>
  </si>
  <si>
    <t>Drake Mine</t>
  </si>
  <si>
    <t>Drayton Mine</t>
  </si>
  <si>
    <t>Duketon South Operations</t>
  </si>
  <si>
    <t>Duralie Open Cut Mine</t>
  </si>
  <si>
    <t>Eastern Creek Landfill (combined)</t>
  </si>
  <si>
    <t>Eastern Gas Pipeline</t>
  </si>
  <si>
    <t>Eastern Ridge Mine</t>
  </si>
  <si>
    <t>Eliwana Mine</t>
  </si>
  <si>
    <t>Elizabeth Drive Landfill</t>
  </si>
  <si>
    <t>Enfield Project Venture</t>
  </si>
  <si>
    <t>Ensham Resources Minesite</t>
  </si>
  <si>
    <t>Ergon Energy Network Facility</t>
  </si>
  <si>
    <t>Ernest Henry Mining Operations</t>
  </si>
  <si>
    <t>Erskine Park Landfill</t>
  </si>
  <si>
    <t>Facility WA CTC</t>
  </si>
  <si>
    <t>Fairview</t>
  </si>
  <si>
    <t>Farstad Shipping Offshore Operations Western Australia</t>
  </si>
  <si>
    <t>Fimiston</t>
  </si>
  <si>
    <t>Fisherman's Landing</t>
  </si>
  <si>
    <t>FLNG</t>
  </si>
  <si>
    <t>Fortescue Rail</t>
  </si>
  <si>
    <t>?</t>
  </si>
  <si>
    <t>Foxleigh Mine</t>
  </si>
  <si>
    <t>Geelong Refinery</t>
  </si>
  <si>
    <t>GEM01</t>
  </si>
  <si>
    <t>Gibson Island</t>
  </si>
  <si>
    <t>Gidgealpa Gas</t>
  </si>
  <si>
    <t>Gippsland Basin facility</t>
  </si>
  <si>
    <t>Glendell Mine</t>
  </si>
  <si>
    <t>Goldfields Gas Transmission Pipeline</t>
  </si>
  <si>
    <t>Goonyella Broadmeadow Mine</t>
  </si>
  <si>
    <t>Gorgon Downstream</t>
  </si>
  <si>
    <t>Gorgon Operations</t>
  </si>
  <si>
    <t>Gorgon Upstream</t>
  </si>
  <si>
    <t>Gove Operations</t>
  </si>
  <si>
    <t>Granny Smith Mine Site</t>
  </si>
  <si>
    <t>Griffin Coal Mine</t>
  </si>
  <si>
    <t>Grosvenor Mine</t>
  </si>
  <si>
    <t>Gruyere Mine Site</t>
  </si>
  <si>
    <t>Hail Creek Mine</t>
  </si>
  <si>
    <t>Hallam Road Landfill</t>
  </si>
  <si>
    <t>Hope Downs 1 Mine</t>
  </si>
  <si>
    <t>Hope Downs 4 Mine</t>
  </si>
  <si>
    <t>Hunter Valley Operations mine</t>
  </si>
  <si>
    <t>Huntly Mine</t>
  </si>
  <si>
    <t>HVY01 Hunter Valley Energy Coal - CCL Facility</t>
  </si>
  <si>
    <t>Integra Underground Mine</t>
  </si>
  <si>
    <t>Isaac Plains Coal Mine</t>
  </si>
  <si>
    <t>Jellinbah Mine</t>
  </si>
  <si>
    <t>JGN</t>
  </si>
  <si>
    <t>Jimblebar Mine</t>
  </si>
  <si>
    <t>Jundee Gold Mine</t>
  </si>
  <si>
    <t>Kemerton Silicon Smelter</t>
  </si>
  <si>
    <t>Kestrel Mine</t>
  </si>
  <si>
    <t>Koolyanobbing/Windarling Operations</t>
  </si>
  <si>
    <t>Kooragang Island</t>
  </si>
  <si>
    <t>Kwinana Alumina Refinery</t>
  </si>
  <si>
    <t>Kwinana Pigment Plant</t>
  </si>
  <si>
    <t>Kwinana Refinery</t>
  </si>
  <si>
    <t>Lake Vermont Mine</t>
  </si>
  <si>
    <t>Lang Lang</t>
  </si>
  <si>
    <t>Lawn Hill Mine</t>
  </si>
  <si>
    <t>Leonora Operations</t>
  </si>
  <si>
    <t>Liberty OneSteel Laverton Steel Mill</t>
  </si>
  <si>
    <t>Liberty Primary Steel Whyalla Steelworks</t>
  </si>
  <si>
    <t>Liberty Steel Laverton Steel Mill</t>
  </si>
  <si>
    <t>Liddell Coal Mine</t>
  </si>
  <si>
    <t>LNG Pipeline</t>
  </si>
  <si>
    <t>Mandalong Mine</t>
  </si>
  <si>
    <t>Mangoola</t>
  </si>
  <si>
    <t>Mannering Colliery</t>
  </si>
  <si>
    <t>Marandoo Mine</t>
  </si>
  <si>
    <t>Maules Creek Open Cut Mine</t>
  </si>
  <si>
    <t>McArthur River Mining Operations</t>
  </si>
  <si>
    <t>Meandu Coal Mine</t>
  </si>
  <si>
    <t>Mesa A Mine</t>
  </si>
  <si>
    <t>Metropolitan Colliery</t>
  </si>
  <si>
    <t>Middlemount Coal Mine</t>
  </si>
  <si>
    <t>Millennium Coal Mine</t>
  </si>
  <si>
    <t>Millicent Mill</t>
  </si>
  <si>
    <t>Mobil Altona Refinery</t>
  </si>
  <si>
    <t>Montara Operations</t>
  </si>
  <si>
    <t>Moolarben Coal Mine (Open Cut &amp; Underground)</t>
  </si>
  <si>
    <t>Moomba Plant</t>
  </si>
  <si>
    <t>Moomba South Central Gas</t>
  </si>
  <si>
    <t>Moorvale Coal Mine</t>
  </si>
  <si>
    <t>Moranbah</t>
  </si>
  <si>
    <t>Moranbah North Mine</t>
  </si>
  <si>
    <t>Mount Isa Mines Copper and Zinc Operations</t>
  </si>
  <si>
    <t>Mount Pleasant Operations</t>
  </si>
  <si>
    <t>Mount Thorley Operations</t>
  </si>
  <si>
    <t>Mt Owen Coal Mine</t>
  </si>
  <si>
    <t>Mt Owen Glendell Complex</t>
  </si>
  <si>
    <t>Multinet Principal Distribution Network and South Gippsland Pipeline</t>
  </si>
  <si>
    <t>Murrin Murrin Operations</t>
  </si>
  <si>
    <t>Myuna Colliery</t>
  </si>
  <si>
    <t>Narngulu Synthetic Rutile Processing Operations</t>
  </si>
  <si>
    <t>Narrabri Underground Mine</t>
  </si>
  <si>
    <t>New Acland Mine</t>
  </si>
  <si>
    <t>New Chum Landfill</t>
  </si>
  <si>
    <t>New Illawarra Road Landfill</t>
  </si>
  <si>
    <t>Newlands Coal Complex including Newlands Northern UG</t>
  </si>
  <si>
    <t>Newman Operations</t>
  </si>
  <si>
    <t>Newmont Boddington Gold Operation</t>
  </si>
  <si>
    <t>Newmont Tanami Operation</t>
  </si>
  <si>
    <t>Newstan Colliery</t>
  </si>
  <si>
    <t>NGP</t>
  </si>
  <si>
    <t>Ningaloo Vision FPSO</t>
  </si>
  <si>
    <t>NKS01 Nickel West Kalgoorlie Facility</t>
  </si>
  <si>
    <t>NKW01 Nickel West Kwinana Facility</t>
  </si>
  <si>
    <t>NMK01 Nickel West Mt Keith Facility</t>
  </si>
  <si>
    <t>Norske Skog Boyer Mill</t>
  </si>
  <si>
    <t>North Goonyella Coal Mine</t>
  </si>
  <si>
    <t>North West Shelf Project</t>
  </si>
  <si>
    <t>Northern Endeavour FPSO</t>
  </si>
  <si>
    <t>Norwich Park Mine</t>
  </si>
  <si>
    <t>Nowra Plant</t>
  </si>
  <si>
    <t>Nyrstar Port Pirie Facility</t>
  </si>
  <si>
    <t>Nyrstar Port Pirie Smelter</t>
  </si>
  <si>
    <t>O-I Melbourne Plant</t>
  </si>
  <si>
    <t>Oaky Creek Coal Complex</t>
  </si>
  <si>
    <t>ODS01 Olympic Dam - UOD Facility</t>
  </si>
  <si>
    <t>OI Adelaide Plant</t>
  </si>
  <si>
    <t>OI Sydney Plant</t>
  </si>
  <si>
    <t>Opal Australian Paper Maryvale Mill</t>
  </si>
  <si>
    <t>Orora Glass Plant Gawler</t>
  </si>
  <si>
    <t>Otway</t>
  </si>
  <si>
    <t>Palmer Nickel and Cobalt Refinery</t>
  </si>
  <si>
    <t>Paraburdoo Mine</t>
  </si>
  <si>
    <t>Parkhurst Magnesia Manufacturing Plant</t>
  </si>
  <si>
    <t>Peak Downs Mine</t>
  </si>
  <si>
    <t>Peat</t>
  </si>
  <si>
    <t>Phosphate Hill</t>
  </si>
  <si>
    <t>Pilbara Rail Operations</t>
  </si>
  <si>
    <t>Pinjarra Alumina Refinery</t>
  </si>
  <si>
    <t>Pluto LNG</t>
  </si>
  <si>
    <t>Point Henry Aluminium Smelter</t>
  </si>
  <si>
    <t>Poitrel Mine</t>
  </si>
  <si>
    <t>Port Bonython Plant</t>
  </si>
  <si>
    <t>Port Kembla Steelworks</t>
  </si>
  <si>
    <t>Port Latta Pelletising Plant</t>
  </si>
  <si>
    <t>Portland Aluminium Smelter</t>
  </si>
  <si>
    <t>Premier Coal Mine</t>
  </si>
  <si>
    <t>PRL03 Rail - IOR Facility</t>
  </si>
  <si>
    <t>Prominent Hill Mine</t>
  </si>
  <si>
    <t>Qantas Airways Limited National Transport Facility</t>
  </si>
  <si>
    <t>Qenos Altona Manufacturing</t>
  </si>
  <si>
    <t>Qenos Botany Manufacturing</t>
  </si>
  <si>
    <t>QGC Upstream</t>
  </si>
  <si>
    <t>QLD - Ti Tree Bioreactor</t>
  </si>
  <si>
    <t>QLD - Wattle Glen Landfill</t>
  </si>
  <si>
    <t>Queensland</t>
  </si>
  <si>
    <t>Queensland Alumina Limited Refinery</t>
  </si>
  <si>
    <t>Queensland Curtis LNG Plant</t>
  </si>
  <si>
    <t>Queensland Nitrates Ammonium Nitrate Plant</t>
  </si>
  <si>
    <t>Railton</t>
  </si>
  <si>
    <t>Ranger Mine</t>
  </si>
  <si>
    <t>Ravensthorpe Nickel Operation</t>
  </si>
  <si>
    <t>Ravensworth Operations</t>
  </si>
  <si>
    <t>Ravensworth Underground Coal Mine</t>
  </si>
  <si>
    <t>Red Hill Waste Management Facility</t>
  </si>
  <si>
    <t>Reedy Creek &amp; Combabula</t>
  </si>
  <si>
    <t>Refinery Qld Lytton</t>
  </si>
  <si>
    <t>Rio Tinto Marine - Qld</t>
  </si>
  <si>
    <t>Rio Tinto Weipa</t>
  </si>
  <si>
    <t>Rio Tinto Yarwun</t>
  </si>
  <si>
    <t>Rix's Creek Pty Limited</t>
  </si>
  <si>
    <t>Rochedale landfill facility</t>
  </si>
  <si>
    <t>Rolleston Coal Mine</t>
  </si>
  <si>
    <t>Roma Hub</t>
  </si>
  <si>
    <t>Roy Hill Mine</t>
  </si>
  <si>
    <t>Russell Vale Colliery</t>
  </si>
  <si>
    <t>SA - IWS Landfill</t>
  </si>
  <si>
    <t>Saraji Mine</t>
  </si>
  <si>
    <t>Savage River Mine</t>
  </si>
  <si>
    <t>Sewerage East</t>
  </si>
  <si>
    <t>Sewerage West</t>
  </si>
  <si>
    <t>SIMEC Mining - Middleback Range Iron Ore Mine (Whyalla)</t>
  </si>
  <si>
    <t>SIMEC Mining - Tahmoor Coal Mine</t>
  </si>
  <si>
    <t>Sino Iron Project - Cape Preston</t>
  </si>
  <si>
    <t>Sojitz Minerva Coal Mine</t>
  </si>
  <si>
    <t>Solomon Mine</t>
  </si>
  <si>
    <t>Sonoma Mine</t>
  </si>
  <si>
    <t>South Denison</t>
  </si>
  <si>
    <t>South Walker Creek</t>
  </si>
  <si>
    <t>South West Queensland Pipeline</t>
  </si>
  <si>
    <t>South West Synthetic Rutile Operations</t>
  </si>
  <si>
    <t>Spring Gully</t>
  </si>
  <si>
    <t>Start up and Operations of the Ichthys LNG Project</t>
  </si>
  <si>
    <t>State Transit Bus Operations</t>
  </si>
  <si>
    <t>Sunrise Dam</t>
  </si>
  <si>
    <t>Swanbank Landfill</t>
  </si>
  <si>
    <t>Talinga</t>
  </si>
  <si>
    <t>Tarrawonga Open-Cut Mine</t>
  </si>
  <si>
    <t>Telfer Gold Mine</t>
  </si>
  <si>
    <t>TEM01</t>
  </si>
  <si>
    <t>The Maddingley Mine Trust</t>
  </si>
  <si>
    <t>Thunderbox</t>
  </si>
  <si>
    <t>Tipton Operations</t>
  </si>
  <si>
    <t>Toll National Transport Facility</t>
  </si>
  <si>
    <t>Tom Price Mine / WTS</t>
  </si>
  <si>
    <t>Tomago Aluminium Smelter</t>
  </si>
  <si>
    <t>Tropicana Gold Mine</t>
  </si>
  <si>
    <t>TT-Line - Victorian Operation</t>
  </si>
  <si>
    <t>Ulan Coal Mine</t>
  </si>
  <si>
    <t>United Coal Mine</t>
  </si>
  <si>
    <t>V/Line</t>
  </si>
  <si>
    <t>Varanus Hub</t>
  </si>
  <si>
    <t>Victoria</t>
  </si>
  <si>
    <t>Victory Road Landfill</t>
  </si>
  <si>
    <t>Vincent Project Venture</t>
  </si>
  <si>
    <t>Virgin Australia Holdings National Transport Facility</t>
  </si>
  <si>
    <t>Visy Paper 8 - Gibson Island</t>
  </si>
  <si>
    <t>WA Oil - Barrow Island</t>
  </si>
  <si>
    <t>Wagerup Alumina Refinery</t>
  </si>
  <si>
    <t>Wambo Coal Mine</t>
  </si>
  <si>
    <t>Warkworth Mine</t>
  </si>
  <si>
    <t>Werris Creek Open-Cut Mine</t>
  </si>
  <si>
    <t>West Angelas Mine</t>
  </si>
  <si>
    <t>West Wallsend Coal Mine</t>
  </si>
  <si>
    <t>Western Australia</t>
  </si>
  <si>
    <t>Western Port Works</t>
  </si>
  <si>
    <t>Wheatstone Operations</t>
  </si>
  <si>
    <t>Wheatstone Project LNG Plant and Associated Facilities</t>
  </si>
  <si>
    <t>Wilkie Creek Coal Mine</t>
  </si>
  <si>
    <t>Wilpinjong Coal Mine</t>
  </si>
  <si>
    <t>Wongawilli mine</t>
  </si>
  <si>
    <t>Woodlawn Bioreactor</t>
  </si>
  <si>
    <t>WOR01 Worsley Alumina Refinery/Mine</t>
  </si>
  <si>
    <t>YAN01 Yandi/Marillana Creek Mine - MNG Facility</t>
  </si>
  <si>
    <t>Yandicoogina Mine</t>
  </si>
  <si>
    <t>Yarrabee Coal Mine (Open Cut)</t>
  </si>
  <si>
    <t>Yarwun Nitrates</t>
  </si>
  <si>
    <t>YPF Ammonia Plant</t>
  </si>
  <si>
    <t>Mine type</t>
  </si>
  <si>
    <t>2016-17</t>
  </si>
  <si>
    <t>2017-18</t>
  </si>
  <si>
    <t>2018-19</t>
  </si>
  <si>
    <t>2019-20</t>
  </si>
  <si>
    <t>2020-21</t>
  </si>
  <si>
    <t>Combined</t>
  </si>
  <si>
    <t>Tahmoor Coal Mine</t>
  </si>
  <si>
    <t>ALCOA OF AUSTRALIA LIMITED</t>
  </si>
  <si>
    <t>93 004 879 298</t>
  </si>
  <si>
    <t>Yes</t>
  </si>
  <si>
    <t>97 006 918 832</t>
  </si>
  <si>
    <t>SANTOS LIMITED</t>
  </si>
  <si>
    <t>80 007 550 923</t>
  </si>
  <si>
    <t>ASHTON COAL OPERATIONS PTY LIMITED</t>
  </si>
  <si>
    <t>22 078 556 500</t>
  </si>
  <si>
    <t>AURIZON OPERATIONS LIMITED</t>
  </si>
  <si>
    <t>47 564 947 264</t>
  </si>
  <si>
    <t>AUSNET SERVICES HOLDINGS PTY LTD</t>
  </si>
  <si>
    <t>AUSTRALIAN GAS NETWORKS LIMITED</t>
  </si>
  <si>
    <t>19 078 551 685</t>
  </si>
  <si>
    <t>42 096 909 634</t>
  </si>
  <si>
    <t>BATCHFIRE RESOURCES PTY LTD</t>
  </si>
  <si>
    <t>84 607 340 189</t>
  </si>
  <si>
    <t>RIO TINTO ALUMINIUM (BELL BAY) LIMITED</t>
  </si>
  <si>
    <t>91 009 483 201</t>
  </si>
  <si>
    <t>BM ALLIANCE COAL OPERATIONS PTY LIMITED</t>
  </si>
  <si>
    <t>67 096 412 752</t>
  </si>
  <si>
    <t>BOGGABRI COAL PTY LIMITED</t>
  </si>
  <si>
    <t>77 122 087 398</t>
  </si>
  <si>
    <t>RIO TINTO ALUMINIUM LIMITED</t>
  </si>
  <si>
    <t>51 009 679 127</t>
  </si>
  <si>
    <t>HAMERSLEY IRON PTY. LIMITED</t>
  </si>
  <si>
    <t>49 004 558 276</t>
  </si>
  <si>
    <t>BULGA COAL MANAGEMENT PTY LIMITED</t>
  </si>
  <si>
    <t>48 055 534 391</t>
  </si>
  <si>
    <t>BYERWEN COAL PTY LTD</t>
  </si>
  <si>
    <t>64 133 357 632</t>
  </si>
  <si>
    <t>ANGLO COAL (CAPCOAL MANAGEMENT) PTY LIMITED</t>
  </si>
  <si>
    <t>73 010 037 564</t>
  </si>
  <si>
    <t>27 145 455 205</t>
  </si>
  <si>
    <t>NORTHERN STAR (CAROSUE DAM) PTY LTD</t>
  </si>
  <si>
    <t>14 116 649 122</t>
  </si>
  <si>
    <t>BORAL LIMITED</t>
  </si>
  <si>
    <t>13 008 421 761</t>
  </si>
  <si>
    <t>TRONOX MANAGEMENT PTY LTD</t>
  </si>
  <si>
    <t>59 009 343 364</t>
  </si>
  <si>
    <t>83 109 264 262</t>
  </si>
  <si>
    <t>54 166 34 2418</t>
  </si>
  <si>
    <t>NC COAL COMPANY PTY LIMITED</t>
  </si>
  <si>
    <t>PEABODY ENERGY AUSTRALIA PCI (C&amp;M MANAGEMENT) PTY LTD</t>
  </si>
  <si>
    <t>65 077 890 932</t>
  </si>
  <si>
    <t>CENTURION TRANSPORT CO. PTY LTD</t>
  </si>
  <si>
    <t>42 008 746 334</t>
  </si>
  <si>
    <t>90 009 362 565</t>
  </si>
  <si>
    <t>CORONADO AUSTRALIA HOLDINGS PTY LTD</t>
  </si>
  <si>
    <t>ARROW (DAANDINE) PTY. LTD.</t>
  </si>
  <si>
    <t>99 114 927 481</t>
  </si>
  <si>
    <t>OCEANIA GLASS PTY LTD</t>
  </si>
  <si>
    <t>ANGLO COAL (DAWSON MANAGEMENT) PTY LTD</t>
  </si>
  <si>
    <t>15 006 746 701</t>
  </si>
  <si>
    <t>DBNGP (WA) TRANSMISSION PTY LIMITED</t>
  </si>
  <si>
    <t>69 081 609 190</t>
  </si>
  <si>
    <t>DRAKE MINE MANAGEMENT PTY LTD</t>
  </si>
  <si>
    <t>30 612 261 453</t>
  </si>
  <si>
    <t>REGIS RESOURCES LIMITED</t>
  </si>
  <si>
    <t>28 009 174 761</t>
  </si>
  <si>
    <t>FMG SOLOMON PTY LTD</t>
  </si>
  <si>
    <t>95 128 959 179</t>
  </si>
  <si>
    <t>ENSHAM RESOURCES PTY. LIMITED</t>
  </si>
  <si>
    <t>23 011 048 678</t>
  </si>
  <si>
    <t>KALGOORLIE CONSOLIDATED GOLD MINES PTY LTD</t>
  </si>
  <si>
    <t>97 009 377 619</t>
  </si>
  <si>
    <t>CEMENT AUSTRALIA (QUEENSLAND) PTY LIMITED</t>
  </si>
  <si>
    <t>70 009 658 520</t>
  </si>
  <si>
    <t>SHELL AUSTRALIA PTY LTD</t>
  </si>
  <si>
    <t>14 009 663 576</t>
  </si>
  <si>
    <t>THE PILBARA INFRASTRUCTURE PTY LTD</t>
  </si>
  <si>
    <t>52 103 096 340</t>
  </si>
  <si>
    <t>FOXLEIGH MANAGEMENT PTY LTD</t>
  </si>
  <si>
    <t>27 089 726 492</t>
  </si>
  <si>
    <t>VIVA ENERGY REFINING PTY LTD</t>
  </si>
  <si>
    <t>46 004 303 842</t>
  </si>
  <si>
    <t>GROOTE EYLANDT MINING COMPANY PROPRIETARY LIMITED</t>
  </si>
  <si>
    <t>INCITEC PIVOT LIMITED</t>
  </si>
  <si>
    <t>42 004 080 264</t>
  </si>
  <si>
    <t>ESSO AUSTRALIA RESOURCES PTY LTD</t>
  </si>
  <si>
    <t>62 091 829 819</t>
  </si>
  <si>
    <t>GOLDFIELDS GAS TRANSMISSION PTY LTD</t>
  </si>
  <si>
    <t>CHEVRON AUSTRALIA PTY LTD</t>
  </si>
  <si>
    <t>29 086 197 757</t>
  </si>
  <si>
    <t>RTA GOVE PTY LIMITED</t>
  </si>
  <si>
    <t>76 000 453 663</t>
  </si>
  <si>
    <t>GSM MINING COMPANY PTY LTD</t>
  </si>
  <si>
    <t>42 165 235 030</t>
  </si>
  <si>
    <t>ANGLO COAL (MORANBAH NORTH MANAGEMENT) PTY LIMITED</t>
  </si>
  <si>
    <t>14 069 603 587</t>
  </si>
  <si>
    <t>HAIL CREEK COAL PTY LTD</t>
  </si>
  <si>
    <t>59 080 002 008</t>
  </si>
  <si>
    <t>HAMERSLEY HMS PTY LTD</t>
  </si>
  <si>
    <t>51 115 004 129</t>
  </si>
  <si>
    <t>HV OPERATIONS PTY LTD</t>
  </si>
  <si>
    <t>39 062 894 464</t>
  </si>
  <si>
    <t>HV COKING COAL PTY LIMITED</t>
  </si>
  <si>
    <t>45 605 492 804</t>
  </si>
  <si>
    <t>JELLINBAH MINING PTY LTD</t>
  </si>
  <si>
    <t>63 052 251 000</t>
  </si>
  <si>
    <t>NORTHERN STAR RESOURCES LTD</t>
  </si>
  <si>
    <t>43 092 832 892</t>
  </si>
  <si>
    <t>42 009 064 653</t>
  </si>
  <si>
    <t>KESTREL COAL GROUP PTY LTD</t>
  </si>
  <si>
    <t>Koolyanobbing Iron Ore Operations</t>
  </si>
  <si>
    <t>YILGARN IRON PTY LTD</t>
  </si>
  <si>
    <t>ORICA AUSTRALIA PTY LTD</t>
  </si>
  <si>
    <t>99 004 117 828</t>
  </si>
  <si>
    <t>THIESS PTY LTD</t>
  </si>
  <si>
    <t>87 010 221 486</t>
  </si>
  <si>
    <t>BEACH ENERGY (OPERATIONS) LIMITED</t>
  </si>
  <si>
    <t>66 007 845 338</t>
  </si>
  <si>
    <t>36 009 165 066</t>
  </si>
  <si>
    <t>ONESTEEL MANUFACTURING PTY LIMITED</t>
  </si>
  <si>
    <t>42 004 651 325</t>
  </si>
  <si>
    <t>LIDDELL COAL OPERATIONS PTY. LIMITED</t>
  </si>
  <si>
    <t>40 058 857 882</t>
  </si>
  <si>
    <t>CENTENNIAL MANDALONG PTY LIMITED</t>
  </si>
  <si>
    <t>74 101 508 892</t>
  </si>
  <si>
    <t>54 127 535 755</t>
  </si>
  <si>
    <t>MAULES CREEK COAL PTY LTD</t>
  </si>
  <si>
    <t>70 140 533 875</t>
  </si>
  <si>
    <t>90 008 167 815</t>
  </si>
  <si>
    <t>ROBE RIVER MINING CO. PTY. LTD.</t>
  </si>
  <si>
    <t>71 008 694 246</t>
  </si>
  <si>
    <t>METROPOLITAN COLLIERIES PTY. LTD.</t>
  </si>
  <si>
    <t>91 003 135 635</t>
  </si>
  <si>
    <t>MIDDLEMOUNT COAL PTY LTD</t>
  </si>
  <si>
    <t>49 122 348 412</t>
  </si>
  <si>
    <t>65 000 032 333</t>
  </si>
  <si>
    <t>MOBIL REFINING AUSTRALIA PTY. LTD.</t>
  </si>
  <si>
    <t>48 004 300 163</t>
  </si>
  <si>
    <t>JADESTONE ENERGY (EAGLE) PTY LTD</t>
  </si>
  <si>
    <t>MOOLARBEN COAL OPERATIONS PTY LTD</t>
  </si>
  <si>
    <t>59 077 939 569</t>
  </si>
  <si>
    <t>MOUNT ISA MINES LIMITED</t>
  </si>
  <si>
    <t>87 009 661 447</t>
  </si>
  <si>
    <t>MT OWEN PTY LIMITED</t>
  </si>
  <si>
    <t>83 003 827 361</t>
  </si>
  <si>
    <t>MULTINET GAS (DB NO. 2) PTY LTD</t>
  </si>
  <si>
    <t>MURRIN MURRIN OPERATIONS PTY LTD</t>
  </si>
  <si>
    <t>43 076 717 505</t>
  </si>
  <si>
    <t>CENTENNIAL MYUNA PTY LIMITED</t>
  </si>
  <si>
    <t>95 101 508 981</t>
  </si>
  <si>
    <t>NARRABRI COAL OPERATIONS PTY LTD</t>
  </si>
  <si>
    <t>15 129 850 139</t>
  </si>
  <si>
    <t>ROLLESTON COAL HOLDINGS PTY LIMITED</t>
  </si>
  <si>
    <t>69 098 156 702</t>
  </si>
  <si>
    <t>BHP IRON ORE PTY LTD</t>
  </si>
  <si>
    <t>46 008 700 981</t>
  </si>
  <si>
    <t>NEWMONT BODDINGTON PTY LTD</t>
  </si>
  <si>
    <t>32 062 936 547</t>
  </si>
  <si>
    <t>NEWMONT TANAMI PTY LTD</t>
  </si>
  <si>
    <t>39 007 688 093</t>
  </si>
  <si>
    <t>76 004 184 598</t>
  </si>
  <si>
    <t>NORSKE SKOG PAPER MILLS (AUSTRALIA) LIMITED</t>
  </si>
  <si>
    <t>84 009 477 132</t>
  </si>
  <si>
    <t>PEABODY (BOWEN) PTY LTD</t>
  </si>
  <si>
    <t>50 010 879 526</t>
  </si>
  <si>
    <t>WOODSIDE ENERGY LTD.</t>
  </si>
  <si>
    <t>63 005 482 986</t>
  </si>
  <si>
    <t>SHOALHAVEN STARCHES PTY LTD</t>
  </si>
  <si>
    <t>94 000 045 045</t>
  </si>
  <si>
    <t>NYRSTAR PORT PIRIE PTY LTD</t>
  </si>
  <si>
    <t>31 008 046 428</t>
  </si>
  <si>
    <t>OAKY CREEK HOLDINGS PTY LIMITED</t>
  </si>
  <si>
    <t>31 128 109 062</t>
  </si>
  <si>
    <t>ORORA LIMITED</t>
  </si>
  <si>
    <t>55 004 275 165</t>
  </si>
  <si>
    <t>PILBARA IRON PTY LTD</t>
  </si>
  <si>
    <t>75 107 216 535</t>
  </si>
  <si>
    <t>WOODSIDE BURRUP PTY. LTD.</t>
  </si>
  <si>
    <t>20 120 237 416</t>
  </si>
  <si>
    <t>BHP MITSUI COAL PTY LTD</t>
  </si>
  <si>
    <t>34 009 713 875</t>
  </si>
  <si>
    <t>GRANGE RESOURCES (TASMANIA) PTY LTD</t>
  </si>
  <si>
    <t>30 073 634 581</t>
  </si>
  <si>
    <t>80 006 306 752</t>
  </si>
  <si>
    <t>QENOS PTY LTD</t>
  </si>
  <si>
    <t>62 054 196 771</t>
  </si>
  <si>
    <t>QGC PTY LIMITED</t>
  </si>
  <si>
    <t>11 089 642 553</t>
  </si>
  <si>
    <t>ALLIANCE AVIATION SERVICES LIMITED</t>
  </si>
  <si>
    <t>96 153 361 525</t>
  </si>
  <si>
    <t>QUEENSLAND ALUMINA LIMITED</t>
  </si>
  <si>
    <t>98 009 725 044</t>
  </si>
  <si>
    <t>QUEENSLAND NITRATES PTY LTD</t>
  </si>
  <si>
    <t>63 079 889 268</t>
  </si>
  <si>
    <t>CEMENT AUSTRALIA (GOLIATH) PTY LIMITED</t>
  </si>
  <si>
    <t>33 009 476 546</t>
  </si>
  <si>
    <t>FQM AUSTRALIA NICKEL PTY LTD</t>
  </si>
  <si>
    <t>92 135 761 465</t>
  </si>
  <si>
    <t>RAVENSWORTH OPERATIONS PTY LIMITED</t>
  </si>
  <si>
    <t>12 098 937 761</t>
  </si>
  <si>
    <t>RESOURCE PACIFIC PTY LIMITED</t>
  </si>
  <si>
    <t>65 106 177 708</t>
  </si>
  <si>
    <t>AMPOL REFINERIES (QLD) PTY LTD</t>
  </si>
  <si>
    <t>71 242 047 864</t>
  </si>
  <si>
    <t>RTA WEIPA PTY LTD</t>
  </si>
  <si>
    <t>54 137 266 285</t>
  </si>
  <si>
    <t>RTA YARWUN PTY LTD</t>
  </si>
  <si>
    <t>73 137 266 301</t>
  </si>
  <si>
    <t>28 111 244 896</t>
  </si>
  <si>
    <t>97 076 663 968</t>
  </si>
  <si>
    <t>CITIC PACIFIC MINING MANAGEMENT PTY LTD</t>
  </si>
  <si>
    <t>64 119 578 371</t>
  </si>
  <si>
    <t>APA (SWQP) PTY LIMITED</t>
  </si>
  <si>
    <t>67 066 656 219</t>
  </si>
  <si>
    <t>ORIGIN ENERGY UPSTREAM OPERATOR PTY LTD</t>
  </si>
  <si>
    <t>67 105 423 532</t>
  </si>
  <si>
    <t>INPEX OPERATIONS AUSTRALIA PTY LTD</t>
  </si>
  <si>
    <t>48 150 217 262</t>
  </si>
  <si>
    <t>ANGLOGOLD ASHANTI AUSTRALIA LIMITED</t>
  </si>
  <si>
    <t>42 008 737 424</t>
  </si>
  <si>
    <t>NEWCREST MINING LIMITED</t>
  </si>
  <si>
    <t>20 005 683 625</t>
  </si>
  <si>
    <t>NORTHERN STAR (THUNDERBOX) PTY LTD</t>
  </si>
  <si>
    <t>15 107 154 727</t>
  </si>
  <si>
    <t>TT-LINE COMPANY PTY. LTD.</t>
  </si>
  <si>
    <t>39 061 996 174</t>
  </si>
  <si>
    <t>UNITED COLLIERIES PTY LTD</t>
  </si>
  <si>
    <t>67 001 990 209</t>
  </si>
  <si>
    <t>V/LINE CORPORATION</t>
  </si>
  <si>
    <t>91 273 289 190</t>
  </si>
  <si>
    <t>CSL AUSTRALIA PTY LTD</t>
  </si>
  <si>
    <t>24 080 378 614</t>
  </si>
  <si>
    <t>VIRGIN AUSTRALIA HOLDINGS LIMITED</t>
  </si>
  <si>
    <t>54 100 686 226</t>
  </si>
  <si>
    <t>WAMBO COAL PTY LIMITED</t>
  </si>
  <si>
    <t>13 000 668 057</t>
  </si>
  <si>
    <t>WARKWORTH MINING LTD</t>
  </si>
  <si>
    <t>BLUESCOPE STEEL LIMITED</t>
  </si>
  <si>
    <t>16 000 011 058</t>
  </si>
  <si>
    <t>WILPINJONG COAL PTY LTD</t>
  </si>
  <si>
    <t>87 104 594 694</t>
  </si>
  <si>
    <t>SOUTH32 WORSLEY ALUMINA PTY LTD</t>
  </si>
  <si>
    <t>58 008 905 155</t>
  </si>
  <si>
    <t>HAMERSLEY IRON - YANDI PTY LIMITED</t>
  </si>
  <si>
    <t>56 009 181 793</t>
  </si>
  <si>
    <t>YARRABEE COAL COMPANY PTY. LTD.</t>
  </si>
  <si>
    <t>30 010 849 402</t>
  </si>
  <si>
    <t>YARA PILBARA FERTILISERS PTY LTD</t>
  </si>
  <si>
    <t>74 095 441 151</t>
  </si>
  <si>
    <t>notes</t>
  </si>
  <si>
    <t>10 highest-polluting Safeguard facilities</t>
  </si>
  <si>
    <t>CER facility name</t>
  </si>
  <si>
    <t>emissions over first 5 years of Safeguard (tCO2e)</t>
  </si>
  <si>
    <t>Parent company</t>
  </si>
  <si>
    <t>Total</t>
  </si>
  <si>
    <t>Total as a percentage of total aggregate Safeguard reported emissions over FY 17-21</t>
  </si>
  <si>
    <t>Company name</t>
  </si>
  <si>
    <t>stock</t>
  </si>
  <si>
    <t>Parent company profits FY20-2021</t>
  </si>
  <si>
    <t>CER facility names</t>
  </si>
  <si>
    <t>Rio Tinto</t>
  </si>
  <si>
    <t>ASX: RIO</t>
  </si>
  <si>
    <t>AUD$21.1 billion profit after tax</t>
  </si>
  <si>
    <t>Chevron</t>
  </si>
  <si>
    <t>NYSE: CVX</t>
  </si>
  <si>
    <t>AUD$2.3 billion (US$1.5625 billion) net income</t>
  </si>
  <si>
    <t>Woodside</t>
  </si>
  <si>
    <t>ASX: WSD</t>
  </si>
  <si>
    <t>AUD$2.9 billion (US$1,983 million) net profit after tax</t>
  </si>
  <si>
    <t>Santos</t>
  </si>
  <si>
    <t>ASX: STO</t>
  </si>
  <si>
    <t>AUD$1.4 billion (US$946 million) profit</t>
  </si>
  <si>
    <t>Anglo American plc</t>
  </si>
  <si>
    <t>LON: AAL</t>
  </si>
  <si>
    <t>AUD$25.7 billion (US$17.6 billion) profit after tax</t>
  </si>
  <si>
    <t>BlueScope Steel Limited</t>
  </si>
  <si>
    <t>ASX: BSL</t>
  </si>
  <si>
    <t>$1.19 billion net profts after tax</t>
  </si>
  <si>
    <t>BHP</t>
  </si>
  <si>
    <t>ASX: BHP</t>
  </si>
  <si>
    <t>AUD$37.8 billion (US$25.9 billion) profit</t>
  </si>
  <si>
    <t>South32</t>
  </si>
  <si>
    <t>ASX: S32</t>
  </si>
  <si>
    <t>Loss of AUD$284.7 million (US$195 million) after tax (US$6,337 million revenue)</t>
  </si>
  <si>
    <t>Glencore</t>
  </si>
  <si>
    <t>LON: GLEN</t>
  </si>
  <si>
    <t>AUD$6.3 billion (US$6349.76 million) profit after tax</t>
  </si>
  <si>
    <t>GFG Alliance</t>
  </si>
  <si>
    <t>not listed</t>
  </si>
  <si>
    <t>expansion/extension plans in the works? (if yes, write status)</t>
  </si>
  <si>
    <t>expansion/extension RoM mtpa (Million tonnes)</t>
  </si>
  <si>
    <t>expansion/extension plans details (free text)</t>
  </si>
  <si>
    <t>Average emissions intensity at this facility over 2017-2021 financial years</t>
  </si>
  <si>
    <t>if no average availble, what is the average (median) of all available coal mine emission intensities?</t>
  </si>
  <si>
    <t>Estimated annual emissions (million tonnes) (Average emissions intensity multiplied by per annum RoM)</t>
  </si>
  <si>
    <t xml:space="preserve">Publicly_announced
</t>
  </si>
  <si>
    <t>assessment</t>
  </si>
  <si>
    <t>ACCR says 14 at Mt Owen and 10 at Glendell, REMP says 18.5 (8.5 at Mt owen and 10 at Glendell)</t>
  </si>
  <si>
    <t>"stratford extension" - see REMP data</t>
  </si>
  <si>
    <t>20 for HVO North and 22 for HVO South</t>
  </si>
  <si>
    <t>Publicly_announced</t>
  </si>
  <si>
    <t xml:space="preserve">Feasibility
</t>
  </si>
  <si>
    <t>Ashton South East Opencut - see REMP</t>
  </si>
  <si>
    <t>total (million tCO2e)</t>
  </si>
  <si>
    <t>Reported emissions totals</t>
  </si>
  <si>
    <t>Financial year</t>
  </si>
  <si>
    <t>sum of reported emissions over 5 years</t>
  </si>
  <si>
    <t>percentage of total aggregate reported Safeguard emissions over 5 years</t>
  </si>
  <si>
    <t>total safeguard facility reported emissions (tCO2e)</t>
  </si>
  <si>
    <t>Fossil fuels (defined as coal; gas supply; oil and gas extraction; and Petroleum Refining and Petroleum Fuel Manufacturing) emissions (tCO2e)</t>
  </si>
  <si>
    <t>all non-fossil fuel industries emissions (tCO2e)</t>
  </si>
  <si>
    <t>Fossil fuel extraction (defined as coal mining and oil and gas extraction) emissions (tCO2e)</t>
  </si>
  <si>
    <t>total emissions for facilities in the 25-100k bracket (tCO2e)</t>
  </si>
  <si>
    <t>withheld</t>
  </si>
  <si>
    <t>not included</t>
  </si>
  <si>
    <t>Aggregate Safeguard baseline</t>
  </si>
  <si>
    <t>ANZSIC primary class</t>
  </si>
  <si>
    <t>not published by CER</t>
  </si>
  <si>
    <t>did not report</t>
  </si>
  <si>
    <t>Aggregate Safeguard headroom</t>
  </si>
  <si>
    <t>emissions (tCO2e)</t>
  </si>
  <si>
    <t>variation compared to previous year</t>
  </si>
  <si>
    <t>average (mean) variation</t>
  </si>
  <si>
    <t>Aluminium mining, smelting, extruding and alumina production</t>
  </si>
  <si>
    <t>emissions data (all figures are tCO2e (tonnes CO2 equivalent))</t>
  </si>
  <si>
    <t>year (financial year ending)</t>
  </si>
  <si>
    <t>Total reported emissions to date</t>
  </si>
  <si>
    <t>tCO2e</t>
  </si>
  <si>
    <t>which is equivalent to</t>
  </si>
  <si>
    <t>cars on the road for a year</t>
  </si>
  <si>
    <t>suburb</t>
  </si>
  <si>
    <t>state</t>
  </si>
  <si>
    <t>postcode</t>
  </si>
  <si>
    <t>latitude</t>
  </si>
  <si>
    <t>longitude</t>
  </si>
  <si>
    <t>ABN</t>
  </si>
  <si>
    <t>operator</t>
  </si>
  <si>
    <t>parent company</t>
  </si>
  <si>
    <t>fossil fuel facility? (yes/no)</t>
  </si>
  <si>
    <t>basin</t>
  </si>
  <si>
    <t>current closure date</t>
  </si>
  <si>
    <t>expansion/extension plans</t>
  </si>
  <si>
    <t>number of facilities with baselines (excluding withheld baselines)</t>
  </si>
  <si>
    <t>number of facilities that reported emissions</t>
  </si>
  <si>
    <t>Every year this activity reports emissions at an average</t>
  </si>
  <si>
    <t>Operator</t>
  </si>
  <si>
    <t>Owner</t>
  </si>
  <si>
    <t>General facility data (all facilities)</t>
  </si>
  <si>
    <t>ERF data (complete)</t>
  </si>
  <si>
    <t>Fossil fuel facility data</t>
  </si>
  <si>
    <t>MYMPs</t>
  </si>
  <si>
    <t>Safeguard baseline determination type</t>
  </si>
  <si>
    <t>Safeguard baseline (tCO2e)</t>
  </si>
  <si>
    <t>Reported emissions (tCO2e)</t>
  </si>
  <si>
    <t>Estimated emissions (tCO2e)</t>
  </si>
  <si>
    <t>RoM data (tonnes)</t>
  </si>
  <si>
    <t>Emissions intensity indication (reported tCo2e emissions divided by tonnes of RoM coal produced)</t>
  </si>
  <si>
    <t>NPI Facility name (if blank, NPI name is the same as the CER facility name)</t>
  </si>
  <si>
    <t>ABN no spaces</t>
  </si>
  <si>
    <t>facility opening date</t>
  </si>
  <si>
    <t>Facility closure date</t>
  </si>
  <si>
    <t>suspended/C&amp;M/decommissioned info</t>
  </si>
  <si>
    <t>Industry (ACF designation, not ANZSIC)</t>
  </si>
  <si>
    <t>Is there an ERF project associated with this facility?</t>
  </si>
  <si>
    <t>No. ERF projects associated with facility</t>
  </si>
  <si>
    <t>ERF project ID(s)</t>
  </si>
  <si>
    <t>ERF project name(s)</t>
  </si>
  <si>
    <t>method</t>
  </si>
  <si>
    <t>method type</t>
  </si>
  <si>
    <t>ERF project proponent</t>
  </si>
  <si>
    <t>project description</t>
  </si>
  <si>
    <t>date project registered</t>
  </si>
  <si>
    <t>ACCU total units issued</t>
  </si>
  <si>
    <t>Carbon Abatement Contract ID</t>
  </si>
  <si>
    <t>Volume of abatement committed under contract</t>
  </si>
  <si>
    <t>Volume of abatement sold to the Commonwealth under contract</t>
  </si>
  <si>
    <t>ERF project status</t>
  </si>
  <si>
    <t>Coal quality (simple)</t>
  </si>
  <si>
    <t>Coal quality (details)</t>
  </si>
  <si>
    <t>Basin</t>
  </si>
  <si>
    <t>Expansion or extension plans in the works? (if yes, status)</t>
  </si>
  <si>
    <t>Expansion/extension RoM million tonnes per annum (mtpa)</t>
  </si>
  <si>
    <t>Expansion/extension plans details (free text)</t>
  </si>
  <si>
    <t>Has this facility ever been in a MYMP?</t>
  </si>
  <si>
    <t>MYMP completed (at least once)?</t>
  </si>
  <si>
    <t>Did the baseline increase after the first year of the MYMP?</t>
  </si>
  <si>
    <t>Did emissions increase after the first year of the MYMP</t>
  </si>
  <si>
    <t>Did emissions increase between 2017 and 2021</t>
  </si>
  <si>
    <t>Number of ACCUs surrendered by facilities with multi-year monitoring periods that have been completed (data as at 9 September 2022)</t>
  </si>
  <si>
    <t>2021-22</t>
  </si>
  <si>
    <t>other notes</t>
  </si>
  <si>
    <t>Emissions since safeguard</t>
  </si>
  <si>
    <t>RoM since safeguard</t>
  </si>
  <si>
    <t>average</t>
  </si>
  <si>
    <t>unclear, see note</t>
  </si>
  <si>
    <t>CLEANAWAY WASTE MANAGEMENT LIMITED</t>
  </si>
  <si>
    <t>Cleanaway Waste Management Limited (ASX: CWY)</t>
  </si>
  <si>
    <t>74 101 155 220</t>
  </si>
  <si>
    <t>ERF132643 and EOP100096</t>
  </si>
  <si>
    <t>MRL Landfill Gas Abatement - Upgrade Project and MRL LFG Abatement Project</t>
  </si>
  <si>
    <t>Carbon Credits (Carbon Farming Initiative - Landfill Gas) Methodology Determination 2015 and Carbon Credits (Carbon Farming Initiative—Electricity Generation from Landfill Gas) Methodology Determination Variation 2022</t>
  </si>
  <si>
    <t xml:space="preserve">Waste
</t>
  </si>
  <si>
    <t xml:space="preserve">Landfill Operations Pty Ltd
</t>
  </si>
  <si>
    <t>This project upgrades an existing landfill gas collection system to capture and combust gas generated at the landfill from legacy and non-legacy waste. and This project transitioned from a revoked ('CFI') method and continues to capture and combust gas generated at the landfill from legacy and non-legacy waste.</t>
  </si>
  <si>
    <t>16/01/2013, 13/01/2020</t>
  </si>
  <si>
    <t>CAC662701</t>
  </si>
  <si>
    <t>completed</t>
  </si>
  <si>
    <t>"31/03/2015 Variation to participant name - from Boral Recycling Pty Ltd to Landfill Operations Pty Ltd. 16/04/2015 Variation of project method - from Carbon Credits (Capture and Combustion of Methane in Landfill Gas from Legacy Waste) Methodology Determination 2012 to Carbon Credits (Carbon Farming Initiative - Landfill Gas) Methodology Determination 2015. 18/05/2015 Variation of project name - from Boral Deer Park Biogas Energy Project to MRL LFG Abatement Project. 21/11/2017 This project was contracted in Apr-15 and CAC662701 has now been completed."</t>
  </si>
  <si>
    <t>Abel</t>
  </si>
  <si>
    <t>DONALDSON COAL PTY LTD</t>
  </si>
  <si>
    <t>Yancoal (ASX: YAL)</t>
  </si>
  <si>
    <t>Blackhill</t>
  </si>
  <si>
    <t>placed into C&amp;M in 2016</t>
  </si>
  <si>
    <t>thermal and semi-soft coking coal for blending</t>
  </si>
  <si>
    <t>unclear</t>
  </si>
  <si>
    <t>AUSTRALIA EASTERN RAILROAD PTY LTD (according to Safeguard data. In the NPI data that ABN corresponds to Aurizon Operations Limited)</t>
  </si>
  <si>
    <t>Queensland Rail (Queensland Government)</t>
  </si>
  <si>
    <t>84 118 274 776</t>
  </si>
  <si>
    <t>"Following a merger of the Aurizon Rail Freight QLD and AER Rail Freight QLD facilities into a single facility, the reported baseline determination for the Aurizon Rail Freight QLD and AER Rail Freight QLD facilities have been revoked under section 56 of the National Greenhouse and Energy Reporting (Safeguard Mechanism) Rule 2015 and a replacement reported baseline determination has been made for the merged facility." Currently unclear what the new facility name is, but would expect to see a baseline that is either the sum of both, or different to either. Most likely the merged facility will be listed under Aurizon Rail Freight QLD since that facility has a current baseline despite this note.</t>
  </si>
  <si>
    <t>Angaston Special Products</t>
  </si>
  <si>
    <t>ADELAIDE BRIGHTON CEMENT LIMITED</t>
  </si>
  <si>
    <t>Adelaide Brighton Cement Limited (ASX: ABC)</t>
  </si>
  <si>
    <t>15 007 596 018</t>
  </si>
  <si>
    <t>Angaston</t>
  </si>
  <si>
    <t>cement and lime manufacturing</t>
  </si>
  <si>
    <t>Reported Baseline</t>
  </si>
  <si>
    <t>APLNG Facility - Curtis Island</t>
  </si>
  <si>
    <t>AUSTRALIA PACIFIC LNG PTY LTD</t>
  </si>
  <si>
    <t>ConocoPhillips (NYSE: COP) / Origin Energy (ASX: ORG) / Sinopec (SHA: 600028)</t>
  </si>
  <si>
    <t>Curtis Island</t>
  </si>
  <si>
    <t>Appin Colliery</t>
  </si>
  <si>
    <t>ENDEAVOUR COAL PTY LIMITED</t>
  </si>
  <si>
    <t>South32 (ASX: S32)</t>
  </si>
  <si>
    <t>38 099 830 476</t>
  </si>
  <si>
    <t>Appin</t>
  </si>
  <si>
    <t>EOP101248</t>
  </si>
  <si>
    <t xml:space="preserve">Appin Coal Mine Flaring Project
</t>
  </si>
  <si>
    <t xml:space="preserve">Carbon Credits (Carbon Farming Initiative - Coal Mine Waste Gas) Methodology Determination 2015
</t>
  </si>
  <si>
    <t>Industrial fugitives</t>
  </si>
  <si>
    <t xml:space="preserve">This project is an expansion flaring project that is installing and operating additional flaring devices to capture and combust the methane component of coal mine waste gas from the mine.
</t>
  </si>
  <si>
    <t xml:space="preserve">30/07/2015
</t>
  </si>
  <si>
    <t>none</t>
  </si>
  <si>
    <t>active</t>
  </si>
  <si>
    <t>coking</t>
  </si>
  <si>
    <t>Pyrenees Development</t>
  </si>
  <si>
    <t>BHP PETROLEUM PTY LTD</t>
  </si>
  <si>
    <t>Woodside (ASX: WDS) / Santos (ASX: STO) / Inpex (TYO: 1605)</t>
  </si>
  <si>
    <t>Exmouth</t>
  </si>
  <si>
    <t>Mining Area C</t>
  </si>
  <si>
    <t>BHP Group Limited (ASX: BHP)</t>
  </si>
  <si>
    <t>Newman</t>
  </si>
  <si>
    <t>appears to not be in NPI data</t>
  </si>
  <si>
    <t>Santos (ASX: STO)</t>
  </si>
  <si>
    <t>Arcadia Valley</t>
  </si>
  <si>
    <t>Facility appears to have  only been covered by the Safeguard since the 2021 FY</t>
  </si>
  <si>
    <t>Yancoal - Ashton</t>
  </si>
  <si>
    <t>Camberwell Via Singleton</t>
  </si>
  <si>
    <t>Semi-soft coking coal and thermal coal</t>
  </si>
  <si>
    <t>65 different facilities, all in WA</t>
  </si>
  <si>
    <t>ATCO GAS AUSTRALIA GP PTY LTD</t>
  </si>
  <si>
    <t>ATCO Limited (TSE: ACO.X)</t>
  </si>
  <si>
    <t>76 151 245 779</t>
  </si>
  <si>
    <t>Aurizon Holdings Ltd (ASX: AZJ)</t>
  </si>
  <si>
    <t>ERF101999</t>
  </si>
  <si>
    <t>Locomotive energy efficiency projects (Coal South &amp; North &amp; Bulk West) (Revoked)</t>
  </si>
  <si>
    <t xml:space="preserve">Carbon Credits (Carbon Farming Initiative - Land and Sea Transport) Methodology Determination 2015
</t>
  </si>
  <si>
    <t>Transport</t>
  </si>
  <si>
    <t xml:space="preserve">Aurizon Operations Limited
</t>
  </si>
  <si>
    <t>This project is a 'group of vehicles project' to reduce emissions by changing energy sources or the mix of energy sources and changing operational practices. The vehicles in this project are land vehicles.</t>
  </si>
  <si>
    <t>revoked</t>
  </si>
  <si>
    <t xml:space="preserve">29/02/2016 This project has been revoked under section 33 of the CFI Act.
</t>
  </si>
  <si>
    <t>facility reported as AWR Rail Freight WA until 2021</t>
  </si>
  <si>
    <t>Brookfield Asset Management (NYSE: BAM)</t>
  </si>
  <si>
    <t>43 086 015 036</t>
  </si>
  <si>
    <t>Yancoal - Austar</t>
  </si>
  <si>
    <t>AUSTAR COAL MINE PTY LTD</t>
  </si>
  <si>
    <t>67 111 910 822</t>
  </si>
  <si>
    <t>Paxton</t>
  </si>
  <si>
    <t>"retired"</t>
  </si>
  <si>
    <t>semi-hard coking coal</t>
  </si>
  <si>
    <t>Cheung Kong Holdings</t>
  </si>
  <si>
    <t>unclear - there are 12 WA depots listed for this ABN on the NPI data</t>
  </si>
  <si>
    <t>AUSTRALIA WESTERN RAILROAD PTY LTD</t>
  </si>
  <si>
    <t>39 094 792 275</t>
  </si>
  <si>
    <t>all data for AWR Rail Freight WA has been entered on the line for Aurizon Rail Freight WA</t>
  </si>
  <si>
    <t>"Ballera"</t>
  </si>
  <si>
    <t>Quilpie</t>
  </si>
  <si>
    <t>AMCI</t>
  </si>
  <si>
    <t>AMCI Holdings Inc</t>
  </si>
  <si>
    <t>Baralaba</t>
  </si>
  <si>
    <t>PCI and thermal</t>
  </si>
  <si>
    <t>too early to tell</t>
  </si>
  <si>
    <t>Multi-Year monitoring period (underlying BDT: no other baseline determination type available but assumed default)</t>
  </si>
  <si>
    <t>Could not find data for this year</t>
  </si>
  <si>
    <t>Cooper Energy (ASX: COE)</t>
  </si>
  <si>
    <t>93 096 170 295</t>
  </si>
  <si>
    <t>Orbost</t>
  </si>
  <si>
    <t>This facility was in the baselines table as downloaded on 25 January (with a current reported baseline starting 1 july 2016 and with no end date) but the facility does not appear in more recent baseline tables, and it appears the facility never reported over 100k tCO2e</t>
  </si>
  <si>
    <t>Callide</t>
  </si>
  <si>
    <t>Batchfire Pty Ltd</t>
  </si>
  <si>
    <t>Biloela</t>
  </si>
  <si>
    <t>Sub-bituminous thermal</t>
  </si>
  <si>
    <t>Bell Bay Aluminium</t>
  </si>
  <si>
    <t>Rio Tinto Group (ASX: RIO)</t>
  </si>
  <si>
    <t>George Town</t>
  </si>
  <si>
    <t>not listed in 2022 NPI data</t>
  </si>
  <si>
    <t>n/a merged</t>
  </si>
  <si>
    <t>Blakefield South = Bulga Underground which closed in 2018</t>
  </si>
  <si>
    <t>thermal</t>
  </si>
  <si>
    <t>should be reported as part of Bulga Coal Complex from 2021 forward</t>
  </si>
  <si>
    <t>should be reported as part of Bulga Coal Complex</t>
  </si>
  <si>
    <t>n/a (see note)</t>
  </si>
  <si>
    <t>BENGALLA MINING COMPANY PTY LIMITED</t>
  </si>
  <si>
    <t>New Hope Group (ASX: NHC) / Taipower</t>
  </si>
  <si>
    <t>32 053 909 470</t>
  </si>
  <si>
    <t>Muswellbrook</t>
  </si>
  <si>
    <t>Birkenhead Plant</t>
  </si>
  <si>
    <t>ADBRI LIMITED</t>
  </si>
  <si>
    <t>Birkenhead</t>
  </si>
  <si>
    <t>ERF101774</t>
  </si>
  <si>
    <t xml:space="preserve">Birkenhead additional wood firing project
</t>
  </si>
  <si>
    <t xml:space="preserve">Carbon Credits (Carbon Farming Initiative - Industrial Electricity and Fuel Efficiency) Methodology Determination 2015
</t>
  </si>
  <si>
    <t>Energy Efficiency</t>
  </si>
  <si>
    <t>Adelaide Brighton Cement Limited</t>
  </si>
  <si>
    <t xml:space="preserve">This project reduces emissions by  changing the energy sources or mix of energy sources used by existing energy-consuming equipment.
</t>
  </si>
  <si>
    <t xml:space="preserve">23/10/2015
</t>
  </si>
  <si>
    <t>CAC102100</t>
  </si>
  <si>
    <t>30/07/2020 Relinquishment of Kyoto Australian carbon credit units - the Clean Energy Regulator issued a notice under section 88 of the CFI Act requiring Adelaide Brighton Cement Limited to relinquish 12,177 Australian carbon credit units in relation to the Birkenhead additional wood firing project.</t>
  </si>
  <si>
    <t>BHP Group Limited (ASX: BHP) / Mitsubishi (TYO: 8058)</t>
  </si>
  <si>
    <t>Blackwater</t>
  </si>
  <si>
    <t>thermal/coking</t>
  </si>
  <si>
    <t>Blair Athol</t>
  </si>
  <si>
    <t>ORION MINING PTY LTD</t>
  </si>
  <si>
    <t>Terracom Limited (ASX: TER)</t>
  </si>
  <si>
    <t>74 010 542 140</t>
  </si>
  <si>
    <t>Clermont</t>
  </si>
  <si>
    <t>Boggabri Coal Mine</t>
  </si>
  <si>
    <t>Idemitsu (TYO: 5019) / Chogku Electric Power Company (TYO: 9504) / Nippon Steel (TYO: 5401)</t>
  </si>
  <si>
    <t>Boggabri</t>
  </si>
  <si>
    <t>Thermal coal, PCI coal, and semi-soft coking coal</t>
  </si>
  <si>
    <t>BSL</t>
  </si>
  <si>
    <t>Gladstone</t>
  </si>
  <si>
    <t>Brockman 2/Nammuldi Mine</t>
  </si>
  <si>
    <t>Tom Price</t>
  </si>
  <si>
    <t>Bulga Coal Surface and Underground Operations</t>
  </si>
  <si>
    <t>Glencore (LON: GLEN) / Nippon Steel (TYO: 5401) / Eneos Holdings (TYO: 5020)</t>
  </si>
  <si>
    <t>Singleton</t>
  </si>
  <si>
    <t>Following a merger of the Beltana / Blakefield South and Bulga Opencut facilities into a single facility (Bulga Coal Complex facility), the reported baseline determination for the Beltana / Blakefield South and Bulga Opencut facilities have been revoked under section 56 of the National Greenhouse and Energy Reporting (Safeguard Mechanism) Rule 2015 and a replacement reported baseline determination has been made for the Bulga Coal Complex facility.</t>
  </si>
  <si>
    <t>BULGA COAL MANAGEMENT PTY LTD</t>
  </si>
  <si>
    <t>Burton Coal Mine</t>
  </si>
  <si>
    <t>BURTON COAL PTY LTD</t>
  </si>
  <si>
    <t>Bowen Coking Coal Limited (ASX: BCB)</t>
  </si>
  <si>
    <t>Nebo</t>
  </si>
  <si>
    <t>Queensland Resources Holdings Pty Ltd / JFE Holdings (TYO: 5411)</t>
  </si>
  <si>
    <t>Suttor</t>
  </si>
  <si>
    <t>Hard coking coal and thermal coal</t>
  </si>
  <si>
    <t>Newcrest Mining Ltd (ASX: NCM)</t>
  </si>
  <si>
    <t>95 062 648 006</t>
  </si>
  <si>
    <t>Orange</t>
  </si>
  <si>
    <t>Cannington Mine</t>
  </si>
  <si>
    <t>SOUTH32 CANNINGTON PROPRIETARY LIMITED</t>
  </si>
  <si>
    <t>48 125 530 967</t>
  </si>
  <si>
    <t>Middleton</t>
  </si>
  <si>
    <t>Capcoal</t>
  </si>
  <si>
    <t>Anglo American plc (LON: AAL)</t>
  </si>
  <si>
    <t>Middlemount</t>
  </si>
  <si>
    <t xml:space="preserve">ERF121928
</t>
  </si>
  <si>
    <t xml:space="preserve">Grasstree CMWG VAM Flaring Project (Revoked)
</t>
  </si>
  <si>
    <t xml:space="preserve">Our Energy Group Pty Limited
</t>
  </si>
  <si>
    <t xml:space="preserve">This project is a ventilation air methane project that is installing and operating conversion devices to capture and combust the ventilation air methane component of coal mine waste gas from the mine.
</t>
  </si>
  <si>
    <t xml:space="preserve">29/06/2018
</t>
  </si>
  <si>
    <t>12/09/2019 This project has been revoked under section 30 of the CFI Rule.</t>
  </si>
  <si>
    <t>hard coking and pulverized coal injection (PCI) coal</t>
  </si>
  <si>
    <t>Cape Lambert Port</t>
  </si>
  <si>
    <t>Mount Anketell</t>
  </si>
  <si>
    <t>FITZROY (CQ) PTY LTD</t>
  </si>
  <si>
    <t>AMCI Holdings Inc / Riverstone</t>
  </si>
  <si>
    <t>61 103 902 389</t>
  </si>
  <si>
    <t>Via Coppabella</t>
  </si>
  <si>
    <t>hard and semi-hard coking coal with pulverized coal injection (PCI) as a secondary product</t>
  </si>
  <si>
    <t>Adani Enterprises Ltd (NSE: ADANIENT)</t>
  </si>
  <si>
    <t>Belyando</t>
  </si>
  <si>
    <t>Not operational in this year</t>
  </si>
  <si>
    <t>Carosue Dam Operations</t>
  </si>
  <si>
    <t>Northern Star Resources Limited (ASX: NST)</t>
  </si>
  <si>
    <t>Via Kalgoorlie</t>
  </si>
  <si>
    <t>metallurgical</t>
  </si>
  <si>
    <t>Berrima Cement Works</t>
  </si>
  <si>
    <t>Boral Limited (ASX: BLD)</t>
  </si>
  <si>
    <t>New Berrima</t>
  </si>
  <si>
    <t>Maldon Cement Works</t>
  </si>
  <si>
    <t>BORAL CEMENT LIMITED</t>
  </si>
  <si>
    <t>Maldon</t>
  </si>
  <si>
    <t>Marulan South Mine Cement Works</t>
  </si>
  <si>
    <t>Marulan South</t>
  </si>
  <si>
    <t>Waurn Ponds</t>
  </si>
  <si>
    <t>ANGLO COAL (CAPCOAL MANAGEMENT) PTY LTD</t>
  </si>
  <si>
    <t>unable to identify facility</t>
  </si>
  <si>
    <t>Delta Coal</t>
  </si>
  <si>
    <t>46 094 084 787</t>
  </si>
  <si>
    <t>Mannering Park</t>
  </si>
  <si>
    <t>Chandala</t>
  </si>
  <si>
    <t>Tronox Holdings PLC (NYSE: TROX)</t>
  </si>
  <si>
    <t>Muchea</t>
  </si>
  <si>
    <t>Graymont</t>
  </si>
  <si>
    <t>70 092 916 811</t>
  </si>
  <si>
    <t>Charbon</t>
  </si>
  <si>
    <t>Christmas Creek</t>
  </si>
  <si>
    <t>FORTESCUE METALS GROUP LTD</t>
  </si>
  <si>
    <t>Fortescue Metals Group Limited (ASX: FMG)</t>
  </si>
  <si>
    <t>Glencore Coal - Clermont (Open Cut) Mine</t>
  </si>
  <si>
    <t>CLERMONT COAL OPERATIONS PTY LTD</t>
  </si>
  <si>
    <t>Glencore (LON: GLEN) / Sumitomo Corporation (TYO: 8053) / Electric Power Development Co., Ltd. (TYO: 9513) / Japan Coal Development Co., Ltd</t>
  </si>
  <si>
    <t>Cloudbreak</t>
  </si>
  <si>
    <t>Mulga Downs</t>
  </si>
  <si>
    <t>Viva Energy Clyde Terminal</t>
  </si>
  <si>
    <t>VIVA ENERGY AUSTRALIA PTY LTD</t>
  </si>
  <si>
    <t>Viva Energy Group Ltd (ASX: VEA)</t>
  </si>
  <si>
    <t>46 004 610 459</t>
  </si>
  <si>
    <t>Rosehill</t>
  </si>
  <si>
    <t>unclear - 7 manufacturing plants and 8 depots, all in WA</t>
  </si>
  <si>
    <t>Collinsville Coal Mine</t>
  </si>
  <si>
    <t>Glencore (LON: GLEN)</t>
  </si>
  <si>
    <t>Collinsville</t>
  </si>
  <si>
    <t>Miles</t>
  </si>
  <si>
    <t xml:space="preserve">Queensland Resources Holdings Pty Ltd </t>
  </si>
  <si>
    <t>40 120 967 839</t>
  </si>
  <si>
    <t>80% hard coking coal and 20% premium thermal coal</t>
  </si>
  <si>
    <t>Peabody Energy Corporation (NYSE: BTU)</t>
  </si>
  <si>
    <t>Via Nebo</t>
  </si>
  <si>
    <t>CSBP Kwinana Operations</t>
  </si>
  <si>
    <t>CSBP LIMITED</t>
  </si>
  <si>
    <t>Wesfarmers (ASX: WES)</t>
  </si>
  <si>
    <t>81 008 668 371</t>
  </si>
  <si>
    <t>Kwinana Beach</t>
  </si>
  <si>
    <t>Coronado Global Resources Inc (ASX: CRN)</t>
  </si>
  <si>
    <t>Santos (ASX: STO) / Petronas (PGAS-MY) / KoreaGasCorp (KRX: 036460)</t>
  </si>
  <si>
    <t>Arrow Energy Limited (ASX: AOE)</t>
  </si>
  <si>
    <t>(Via) Dalby</t>
  </si>
  <si>
    <t>Crescent Capital Partners</t>
  </si>
  <si>
    <t>90 000 001 276</t>
  </si>
  <si>
    <t>Dartbrook Coal Pty Ltd</t>
  </si>
  <si>
    <t>ANGLO COAL (DARTBROOK MANAGEMENT) PTY LTD</t>
  </si>
  <si>
    <t>62 007 377 577</t>
  </si>
  <si>
    <t>Kayuga</t>
  </si>
  <si>
    <t>The Dartbook mine was mothballed in 2006 after three deaths, but in 2017, Australian Pacific Coal applied to recommence underground mine operations and began studies on the feasibility of open cut mining.</t>
  </si>
  <si>
    <t>Darwin Liquefied Natural Gas Plant</t>
  </si>
  <si>
    <t>Wickham</t>
  </si>
  <si>
    <t>Via Peak Downs Highway</t>
  </si>
  <si>
    <t>Dawson</t>
  </si>
  <si>
    <t>Moura</t>
  </si>
  <si>
    <t>coking, soft coking and thermal coal</t>
  </si>
  <si>
    <t>26 facilities match this name and ABN, all in WA</t>
  </si>
  <si>
    <t>Dendrobium Mine</t>
  </si>
  <si>
    <t>DENDROBIUM COAL PTY LTD</t>
  </si>
  <si>
    <t>85 098 744 088</t>
  </si>
  <si>
    <t>Mount Kembla</t>
  </si>
  <si>
    <t>Dongara</t>
  </si>
  <si>
    <t>Drake Coal Mine</t>
  </si>
  <si>
    <t>hard coking and thermal</t>
  </si>
  <si>
    <t>Maxwell Infrastructure</t>
  </si>
  <si>
    <t>MAXWELL VENTURES (MANAGEMENT) PTY LTD</t>
  </si>
  <si>
    <t>Malabar Coal Limited (ASX: MBC)</t>
  </si>
  <si>
    <t>67 002 028 257</t>
  </si>
  <si>
    <t>Open cut mining ceased in 2016 when the coal pit was exhausted. It was put on care and maintenance in 2016 after over 30 years of operation.</t>
  </si>
  <si>
    <t>multiple, see note</t>
  </si>
  <si>
    <t>Regis Resources Limited (ASX: RRL)</t>
  </si>
  <si>
    <t>Bandya</t>
  </si>
  <si>
    <t>Duralie</t>
  </si>
  <si>
    <t>DURALIE COAL PTY LTD</t>
  </si>
  <si>
    <t>81 070 318 259</t>
  </si>
  <si>
    <t>Stroud Road</t>
  </si>
  <si>
    <t>closed</t>
  </si>
  <si>
    <t>high fluidity coking coal</t>
  </si>
  <si>
    <t>Eastern Creek Waste Management Centre</t>
  </si>
  <si>
    <t>WASTE ASSETS MANAGEMENT CORPORATION</t>
  </si>
  <si>
    <t>New South Wales Government</t>
  </si>
  <si>
    <t>56 784 733 957</t>
  </si>
  <si>
    <t>Eastern Creek</t>
  </si>
  <si>
    <t>EOP100163,  EOP100103 and EOP100182</t>
  </si>
  <si>
    <t>Eastern Creek 2 Landfill Gas Project, Eastern Creek Landfill Gas Project and Eastern Creek UR-3R Facility</t>
  </si>
  <si>
    <t>Carbon Credits (Carbon Farming Initiative—Electricity Generation from Landfill Gas) Methodology Determination 2021 and Carbon Credits (Carbon Farming Initiative - Alternative Waste Treatment) Methodology Determination 2015</t>
  </si>
  <si>
    <t>LMS Energy Pty Ltd and EDL LFG (NSW) Pty Ltd</t>
  </si>
  <si>
    <t xml:space="preserve">This project transitioned from a revoked ('CFI') method and continues to capture and combust gas generated at the landfill from legacy and non-legacy waste.
</t>
  </si>
  <si>
    <t xml:space="preserve">13/11/2012, 10/02/2013 and </t>
  </si>
  <si>
    <t>CAC143500, CAC405488 and CAC101978</t>
  </si>
  <si>
    <t>06/03/2015 Variation of project method - from the Carbon Credits (Capture and Combustion of Methane in Landfill Gas from Legacy Waste) Methodology Determination 2012 to Carbon Credits (Carbon Farming Initiative - Landfill Gas) Methodology Determination 2015 11/02/2022 Variation of project method - from Carbon Credits (Carbon Farming Initiative - Landfill Gas) Methodology Determination 2015 (F2015L00059) to Carbon Credits (Carbon Farming Initiative - Electricity Generation from Landfill Gas) Methodology Determination 2021 (F2021L01254).</t>
  </si>
  <si>
    <t>33 facilities listed as part of the pipeline in NPI data</t>
  </si>
  <si>
    <t>JEMENA EASTERN GAS PIPELINE (1) PTY LTD</t>
  </si>
  <si>
    <t>State Grid Corporation of China / Singapore Power International Pte Ltd</t>
  </si>
  <si>
    <t>15 068 570 847</t>
  </si>
  <si>
    <t>according to baselines table downloaded Jan 2022, baseline expired 30/06/2020 and is listed as historical. Looking at the reported data over the years, it seems likely the facility is no longer considered a covered facility.</t>
  </si>
  <si>
    <t>Orebody 23/25 Operations</t>
  </si>
  <si>
    <t>BHP BILLITON IRON ORE PTY LTD</t>
  </si>
  <si>
    <t>Hamersley Range</t>
  </si>
  <si>
    <t>commenced operations in December 2020</t>
  </si>
  <si>
    <t>Elizabeth Drive Landfill Facility</t>
  </si>
  <si>
    <t>SUEZ RECYCLING &amp; RECOVERY PTY LTD</t>
  </si>
  <si>
    <t>Suez Environnement S.A. (US OTC)</t>
  </si>
  <si>
    <t>18 002 658 255</t>
  </si>
  <si>
    <t>Badgerys Creek</t>
  </si>
  <si>
    <t>Enfield ENA-02-ST 1, ENE-01</t>
  </si>
  <si>
    <t>WOODSIDE ENERGY LTD</t>
  </si>
  <si>
    <t>Woodside (ASX: WDS) / Mitsui &amp; Co. Ltd (TYO: 8031)</t>
  </si>
  <si>
    <t>Ensham Coal Mine</t>
  </si>
  <si>
    <t>Idemitsu (TYO: 5019) / Bowen Investment (Australia) Pty Ltd</t>
  </si>
  <si>
    <t>Emerald</t>
  </si>
  <si>
    <t>ERGON ENERGY CORPORATION LIMITED</t>
  </si>
  <si>
    <t>Queensland Government</t>
  </si>
  <si>
    <t>50 087 646 062</t>
  </si>
  <si>
    <t>Evolution Ltd (ASX: EVN)</t>
  </si>
  <si>
    <t>Enviroguard Erskine Park Landfill</t>
  </si>
  <si>
    <t>ENVIROGUARD PTY LIMITED</t>
  </si>
  <si>
    <t>Enviroguard Pty Ltd</t>
  </si>
  <si>
    <t>Erskine Park</t>
  </si>
  <si>
    <t xml:space="preserve">EOP101225
</t>
  </si>
  <si>
    <t>Erskine Park Landfill Gas Projec</t>
  </si>
  <si>
    <t xml:space="preserve">Carbon Credits (Carbon Farming Initiative - Landfill Gas) Methodology Determination 2015
</t>
  </si>
  <si>
    <t>Enviroguard Pty Limited</t>
  </si>
  <si>
    <t xml:space="preserve">16/07/2015
</t>
  </si>
  <si>
    <t xml:space="preserve">CAC102524
</t>
  </si>
  <si>
    <t>"16/12/2015 Variation of project method - from the Carbon Credits (Capture and Combustion of Methane in Landfill Gas from Legacy Waste: Upgrade projects) Methodology Determination 2012 to the Carbon Credits (Carbon Farming Initiative - Landfill Gas) Methodology Determination 2015. 20/05/2020 This project was contracted in Nov-15 and CAC102524 has now been completed."</t>
  </si>
  <si>
    <t>Centurion Transport Co. Pty Ltd</t>
  </si>
  <si>
    <t>formerly CTC WA facility</t>
  </si>
  <si>
    <t>"Fairview Coal Seam Methane Field"</t>
  </si>
  <si>
    <t>Injune</t>
  </si>
  <si>
    <t>not in NPI data</t>
  </si>
  <si>
    <t>SOLSTAD AUSTRALIA PTY LTD</t>
  </si>
  <si>
    <t>Solstad Offshore ASA (LON: 0G2Z)</t>
  </si>
  <si>
    <t>40 105 011 989</t>
  </si>
  <si>
    <t>Fimiston Operations</t>
  </si>
  <si>
    <t>Trafalgar</t>
  </si>
  <si>
    <t>Fishermans Landing</t>
  </si>
  <si>
    <t>HeidelbergCement AG (ETR: HEI) / Holcim AG (SWX: HOLN)</t>
  </si>
  <si>
    <t>ERF174247</t>
  </si>
  <si>
    <t>Gladstone Alternative Fuels Increase Program</t>
  </si>
  <si>
    <t>Carbon Credits (Carbon Farming Initiative—Industrial and Commercial Emissions Reduction) Methodology Determination 2021</t>
  </si>
  <si>
    <t>Cement Australia Holdings Pty Ltd</t>
  </si>
  <si>
    <t xml:space="preserve">This project reduces emissions by changing the energy sources or mix of energy sources used by existing emissions-producing equipment, and by modifying, installing, removing or replacing equipment that affects the production of emissions by existing emissions-producing equipment.
</t>
  </si>
  <si>
    <t>Prelude FLNG</t>
  </si>
  <si>
    <t>Shell PLC (LON: SHEL) / Inpex Corp (TYO: 1605) / KoreaGasCorp (KRX: 036460) / CPC</t>
  </si>
  <si>
    <t>Broome</t>
  </si>
  <si>
    <t>Boondarie</t>
  </si>
  <si>
    <t>in 2021 seems to have reported as "Rail", but seems to be in the baselines table as "Fortescue Rail". Has reported as both names in previous years.</t>
  </si>
  <si>
    <t>Foxleigh</t>
  </si>
  <si>
    <t>QMetco Limited / Posco Holdings Inc (KRX: 005490) / Nippon Steel (TYO: 5401)</t>
  </si>
  <si>
    <t>bituminous (thermal)</t>
  </si>
  <si>
    <t>Viva Energy Geelong Refinery</t>
  </si>
  <si>
    <t>Corio</t>
  </si>
  <si>
    <t>GEMCO Mine</t>
  </si>
  <si>
    <t>South32 (ASX: S32) / Anglo American plc (LON: AAL)</t>
  </si>
  <si>
    <t>26 004 618 491</t>
  </si>
  <si>
    <t>Groote Eylandt</t>
  </si>
  <si>
    <t>Incitec Pivot Limited (ASX: IPL)</t>
  </si>
  <si>
    <t>Murarrie</t>
  </si>
  <si>
    <t>Santos (ASX: STO) / Beach Energy Ltd (ASX: BPT)</t>
  </si>
  <si>
    <t>Exxon Mobil Corp (NYSE: XOM) / Woodside (ASX: WDS)</t>
  </si>
  <si>
    <t>merged  and now reporting as part of Mt Owen Glendell Complex facility</t>
  </si>
  <si>
    <t>APA Group (ASX: APA)</t>
  </si>
  <si>
    <t>Goonyella Riverside and Broadmeadow Mine</t>
  </si>
  <si>
    <t>hard coking coal</t>
  </si>
  <si>
    <t>Chevron (NYSE: CVX) / Exxon Mobil Corp (NYSE: XOM) / Shell PLC (LON: SHEL) / Osaka Gas Co Ltd (TYO: 9532) / Tokyo Gas Co Ltd (TYO: 9531) / JERA</t>
  </si>
  <si>
    <t>Barrow Island</t>
  </si>
  <si>
    <t>Gove Mine</t>
  </si>
  <si>
    <t>Nhulunbuy</t>
  </si>
  <si>
    <t xml:space="preserve">ERF101428
</t>
  </si>
  <si>
    <t xml:space="preserve">Gove Alternate Power Generation Project
</t>
  </si>
  <si>
    <t>Carbon Credits (Carbon Farming Initiative - Industrial Electricity and Fuel Efficiency) Methodology Determination 2015</t>
  </si>
  <si>
    <t xml:space="preserve">Energy Efficiency
</t>
  </si>
  <si>
    <t xml:space="preserve">RTA Gove Pty Limited
</t>
  </si>
  <si>
    <t xml:space="preserve">This project reduces emissions by changing the energy sources or mix of energy sources used by energy-consuming equipment.
</t>
  </si>
  <si>
    <t xml:space="preserve">27/10/2015
</t>
  </si>
  <si>
    <t>CAC254087</t>
  </si>
  <si>
    <t>"16/02/2018 This project was contracted in Apr-17 and CAC308459 has now been completed. 11/02/2020 This project was contracted in Jun-18 and CAC465315 has now been completed."</t>
  </si>
  <si>
    <t>Granny Smith Mine</t>
  </si>
  <si>
    <t>Gold Fields Limited (JSE: GFI)</t>
  </si>
  <si>
    <t>Laverton</t>
  </si>
  <si>
    <t>EOP101217</t>
  </si>
  <si>
    <t xml:space="preserve">Granny Smith Gas Power Station
</t>
  </si>
  <si>
    <t xml:space="preserve">Gold Fields Australia Pty Limited
</t>
  </si>
  <si>
    <t xml:space="preserve">This project improves energy (electricity and fuel) efficiency by modifying, removing or replacing existing energy-consuming equipment, and changing the energy sources or mix of energy sources used by existing energy-consuming equipment.
</t>
  </si>
  <si>
    <t xml:space="preserve">26/05/2015
</t>
  </si>
  <si>
    <t>CAC201966</t>
  </si>
  <si>
    <t>Griffin Coal</t>
  </si>
  <si>
    <t>THE GRIFFIN COAL MINING COMPANY PTY LIMITED</t>
  </si>
  <si>
    <t xml:space="preserve">Lanco Infratech </t>
  </si>
  <si>
    <t>16 008 667 285</t>
  </si>
  <si>
    <t>Collie</t>
  </si>
  <si>
    <t>bituminous</t>
  </si>
  <si>
    <t>Grosvenor</t>
  </si>
  <si>
    <t>ANGLO COAL (GROSVENOR MANAGEMENT) PTY LTD</t>
  </si>
  <si>
    <t>16 153 794 122</t>
  </si>
  <si>
    <t>ERF103850 and EOP101247</t>
  </si>
  <si>
    <t>Grosvenor 2 Coal Mine Waste Gas Power Station Project and Grosvenor Waste Coal Mine Gas Power Station</t>
  </si>
  <si>
    <t>Carbon Credits (Carbon Farming Initiative - Coal Mine Waste Gas) Methodology Determination 2015</t>
  </si>
  <si>
    <t xml:space="preserve">EDL Projects (Australia) Pty Ltd
</t>
  </si>
  <si>
    <t>This project is a displacement electricity production project that is installing and operating electricity production devices to capture and combust the methane component of coal mine waste gas from the mine. and This project is a displacement electricity production project that is installing and operating electricity production devices to capture and combust the methane component of coal mine waste gas from the mine.</t>
  </si>
  <si>
    <t>17/08/2015 and 18/08/2016</t>
  </si>
  <si>
    <t>CAC643075 and CAC102147</t>
  </si>
  <si>
    <t>Gruyere Gold Mine</t>
  </si>
  <si>
    <t>GRUYERE MANAGEMENT PTY LTD</t>
  </si>
  <si>
    <t>Gold Fields Limited (JSE: GFI) / Gold Road Resources (ASX: GOR)</t>
  </si>
  <si>
    <t>11 6157 29 005</t>
  </si>
  <si>
    <t>Glencore Coal - Hail Creek Open Cut Mine</t>
  </si>
  <si>
    <t xml:space="preserve">Glencore (LON: GLEN) / Marubeni Corporation (TYO: 8002) / Sumitomo Corporation (TYO: 8053) </t>
  </si>
  <si>
    <t>Hallam Rd Landfill</t>
  </si>
  <si>
    <t>Hampton Park</t>
  </si>
  <si>
    <t>EOP100093</t>
  </si>
  <si>
    <t>Hallam Landfill Gas Projec</t>
  </si>
  <si>
    <t xml:space="preserve">Carbon Credits (Carbon Farming Initiative—Electricity Generation from Landfill Gas) Methodology Determination 2021
</t>
  </si>
  <si>
    <t xml:space="preserve">LMS Energy Pty Ltd
</t>
  </si>
  <si>
    <t xml:space="preserve">27/11/2012
</t>
  </si>
  <si>
    <t xml:space="preserve">CAC143500
</t>
  </si>
  <si>
    <t>"06/03/2015 Variation of project method - from the Carbon Credits (Capture and Combustion of Methane in Landfill Gas from Legacy Waste) Methodology Determination 2012 to Carbon Credits (Carbon Farming Initiative - Landfill Gas) Methodology Determination 2015 11/02/2022 Variation of project method - from Carbon Credits (Carbon Farming Initiative - Landfill Gas) Methodology Determination 2015 (F2015L00059) to Carbon Credits (Carbon Farming Initiative - Electricity Generation from Landfill Gas) Methodology Determination 2021 (F2021L01254)."</t>
  </si>
  <si>
    <t>Rio Tinto Group (ASX: RIO) / Hancock Prospecting Pty Ltd</t>
  </si>
  <si>
    <t>Juna Downs</t>
  </si>
  <si>
    <t>Hope Downs 4</t>
  </si>
  <si>
    <t>Capricorn</t>
  </si>
  <si>
    <t>Hunter Valley Operations</t>
  </si>
  <si>
    <t>Yancoal (ASX: YAL) / Glencore (LON: GLEN)</t>
  </si>
  <si>
    <t>44 075 612 216</t>
  </si>
  <si>
    <t>Lemington Via Singleton</t>
  </si>
  <si>
    <t>ERF105023</t>
  </si>
  <si>
    <t xml:space="preserve">Hunter No. 2 CMWM New Flaring Project
</t>
  </si>
  <si>
    <t>Our Energy Group Pty Limited</t>
  </si>
  <si>
    <t xml:space="preserve">This project is a new flaring project that is installing and operating new flaring devices to capture and combust the methane component of coal mine waste gas from the mine.
</t>
  </si>
  <si>
    <t xml:space="preserve">CAC838267
</t>
  </si>
  <si>
    <t>terminated or lapsed</t>
  </si>
  <si>
    <t>04/11/2019  This project was contracted in November 2016 and CAC838267 has now been terminated or lapsed.</t>
  </si>
  <si>
    <t>thermal and semi-soft metallurgical coal</t>
  </si>
  <si>
    <t xml:space="preserve">Alcoa Corporation (NYSE: AA) </t>
  </si>
  <si>
    <t>Dwellingup</t>
  </si>
  <si>
    <t>Mt Arthur Coal</t>
  </si>
  <si>
    <t>HUNTER VALLEY ENERGY COAL PTY LTD</t>
  </si>
  <si>
    <t>Integra Underground Coal Mine</t>
  </si>
  <si>
    <t>thermal coal and semi-soft coking coal[</t>
  </si>
  <si>
    <t>Stanmore Coal Ltd (ASX: SMR)</t>
  </si>
  <si>
    <t>79 606 244 615</t>
  </si>
  <si>
    <t>coking coal</t>
  </si>
  <si>
    <t>Jellinbah Group Pty Ltd / Marubeni Corporation (TYO: 8002) / Sojitz Corp (TYO: 2768)</t>
  </si>
  <si>
    <t>Via Bluff</t>
  </si>
  <si>
    <t>PCI and soft coking</t>
  </si>
  <si>
    <t>JEMENA GAS NETWORKS (NSW) LTD</t>
  </si>
  <si>
    <t>87 003 004 322</t>
  </si>
  <si>
    <t>was listed as Jemena Gas Network in 2017 and 18 data</t>
  </si>
  <si>
    <t>Wheelarra Hill - Jimblebar</t>
  </si>
  <si>
    <t>Jundee Operations</t>
  </si>
  <si>
    <t>Wiluna</t>
  </si>
  <si>
    <t>Simcoa Operations Pty Ltd</t>
  </si>
  <si>
    <t>SIMCOA OPERATIONS PTY LTD</t>
  </si>
  <si>
    <t>Shin-Etsu Chemical Co Ltd (TYO: 4063)</t>
  </si>
  <si>
    <t>Wellesley</t>
  </si>
  <si>
    <t>no reported baseline</t>
  </si>
  <si>
    <t>Kestrel Operations</t>
  </si>
  <si>
    <t>EMR Capital of Australia / Adaro Energy Indonesia TBK PT (IDX: ADRO)</t>
  </si>
  <si>
    <t>42 079 044 689</t>
  </si>
  <si>
    <t>ERF126414</t>
  </si>
  <si>
    <t>Kestrel Waste Coal Mine Gas Power Station</t>
  </si>
  <si>
    <t xml:space="preserve">This project is a displacement electricity production project that is installing and operating electricity production devices to capture and combust the methane component of coal mine waste gas from the mine.
</t>
  </si>
  <si>
    <t>27/11/2018</t>
  </si>
  <si>
    <t>Mineral Resources Limited (ASX: MIN)</t>
  </si>
  <si>
    <t>69 112 437 331</t>
  </si>
  <si>
    <t>Koolyanobbing</t>
  </si>
  <si>
    <t>both this facility name and Koolyanobbing Iron Ore Operations are in the Aug 2022 baselines table, but these two facilities do not have overlapping baselines, and the baselines are similar enough that it seems most likely this facility changed its operator, reporting name and baseline determination type all in the same financial year</t>
  </si>
  <si>
    <t>Orica Ltd (ASX: ORI)</t>
  </si>
  <si>
    <t>Kooragang</t>
  </si>
  <si>
    <t xml:space="preserve">ERF160887
</t>
  </si>
  <si>
    <t>Orica Kooragang Island Decarbonisation Project</t>
  </si>
  <si>
    <t xml:space="preserve">Carbon Credits (Carbon Farming Initiative - Facilities) Methodology Determination 2015
</t>
  </si>
  <si>
    <t>Facilities</t>
  </si>
  <si>
    <t xml:space="preserve">This project takes place at a facility that reports under the National Greenhouse and Energy Reporting (NGER) Scheme. This project reduces emissions by installing new equipment.
</t>
  </si>
  <si>
    <t xml:space="preserve">19/03/2021
</t>
  </si>
  <si>
    <t xml:space="preserve">CAC377211
</t>
  </si>
  <si>
    <t>Naval Base</t>
  </si>
  <si>
    <t>BP Refinery (Kwinana) Pty Ltd</t>
  </si>
  <si>
    <t>BP REFINERY (KWINANA) PROPRIETARY LIMITED</t>
  </si>
  <si>
    <t>BP PLC (NYSE: BP)</t>
  </si>
  <si>
    <t>54 008 689 763</t>
  </si>
  <si>
    <t xml:space="preserve">ERF168568
</t>
  </si>
  <si>
    <t>Kwinana Energy Efficiency Boiler Upgrade Project</t>
  </si>
  <si>
    <t xml:space="preserve">O'Brien Energy Services Pty Ltd
</t>
  </si>
  <si>
    <t xml:space="preserve">This project improves energy (fuel) efficiency by modifying, removing or replacing existing energy-consuming equipment.
</t>
  </si>
  <si>
    <t>Ravensworth East Mine</t>
  </si>
  <si>
    <t>Jellinbah Group Pty Ltd / Marubeni Corporation (TYO: 8002) / Sojitz Corp (TYO: 2768) / AMCI Holdings Inc</t>
  </si>
  <si>
    <t>Ravensworth</t>
  </si>
  <si>
    <t>hard coking coal, low volatile PCI coal and thermal coal</t>
  </si>
  <si>
    <t>Beach Energy Ltd (ASX: BPT)</t>
  </si>
  <si>
    <t>Century Mine</t>
  </si>
  <si>
    <t>MMG CENTURY LTD</t>
  </si>
  <si>
    <t>New Century Resources (ASX: NCZ)</t>
  </si>
  <si>
    <t>59 006 670 300</t>
  </si>
  <si>
    <t>Burketown</t>
  </si>
  <si>
    <t>St Barbara Ltd (ASX: SBM)</t>
  </si>
  <si>
    <t>Leonora</t>
  </si>
  <si>
    <t>Infrabuild Steel?</t>
  </si>
  <si>
    <t>THE AUSTRALIAN STEEL COMPANY (OPERATIONS) PTY LTD?</t>
  </si>
  <si>
    <t>89069426955</t>
  </si>
  <si>
    <t>Laverton North</t>
  </si>
  <si>
    <t>previously reported as InfraBuild Steel Laverton Steel Mill</t>
  </si>
  <si>
    <t>WHYALLA STEELWORKS</t>
  </si>
  <si>
    <t>Whyalla</t>
  </si>
  <si>
    <t>Infrabuild Steel</t>
  </si>
  <si>
    <t>THE AUSTRALIAN STEEL COMPANY (OPERATIONS) PTY LTD</t>
  </si>
  <si>
    <t>89 069 426 955</t>
  </si>
  <si>
    <t>previously reported as Infrabuild Steel Laverton Steel Mill, but all data entered as Liberty Steel to allow comparison</t>
  </si>
  <si>
    <t>Liddell Colliery</t>
  </si>
  <si>
    <t>Glencore (LON: GLEN) / Mitsui &amp; Co. Ltd (TYO: 8031)</t>
  </si>
  <si>
    <t>Bituminous (Thermal and Met)</t>
  </si>
  <si>
    <t>Origin LNG Pipelines</t>
  </si>
  <si>
    <t>Origin Energy (ASX: ORG)</t>
  </si>
  <si>
    <t>Banpu PCL (Bangkok: BANPU)</t>
  </si>
  <si>
    <t>Mandalong</t>
  </si>
  <si>
    <t>ERF119472</t>
  </si>
  <si>
    <t>Mandalong Waste Coal Mine Gas Power Station</t>
  </si>
  <si>
    <t xml:space="preserve">EDL Holdings (Australia) Pty Ltd
</t>
  </si>
  <si>
    <t xml:space="preserve">28/11/2017
</t>
  </si>
  <si>
    <t>CAC800232</t>
  </si>
  <si>
    <t xml:space="preserve">16/07/2019 Variation to participant name - from EDL Projects (Australia) Pty Ltd to EDL Holdings (Australia) Pty Ltd.
</t>
  </si>
  <si>
    <t>Mangoola Coal</t>
  </si>
  <si>
    <t>XSTRATA MANGOOLA PTY LIMITED</t>
  </si>
  <si>
    <t>Maules Creek Coal Pty Ltd</t>
  </si>
  <si>
    <t>Whitehaven Coal Ltd (ASX: WHC) / Itochu Corp (TYO: 8001) / Electric Power Development Co., Ltd. (TYO: 9513)</t>
  </si>
  <si>
    <t>semi soft coking</t>
  </si>
  <si>
    <t>McArthur River Mine Operations</t>
  </si>
  <si>
    <t>MCARTHUR RIVER MINING P/L</t>
  </si>
  <si>
    <t>Borroloola</t>
  </si>
  <si>
    <t>Meandu Mine</t>
  </si>
  <si>
    <t>TEC COAL PTY LTD</t>
  </si>
  <si>
    <t>49 004 142 223</t>
  </si>
  <si>
    <t>Nanango</t>
  </si>
  <si>
    <t>Mesa A/Warramboo Mine</t>
  </si>
  <si>
    <t xml:space="preserve">Rio Tinto Group (ASX: RIO) / Mitsui &amp; Co. Ltd (TYO: 8031) / Nippon Steel (TYO: 5401)  /  Sumitomo Corporation (TYO: 8053) </t>
  </si>
  <si>
    <t>Pannawonica</t>
  </si>
  <si>
    <t>Metropolitan Collieries Pty Ltd</t>
  </si>
  <si>
    <t>Helensburgh</t>
  </si>
  <si>
    <t>Peabody Energy Corporation (NYSE: BTU) / Yancoal (ASX: YAL)</t>
  </si>
  <si>
    <t>suspended since a death in June 2019</t>
  </si>
  <si>
    <t>Low-volatile pulverized coal injection; "C/P" according to peabody annual report</t>
  </si>
  <si>
    <t>Stanmore Coal Ltd (ASX: SMR) / M Resources</t>
  </si>
  <si>
    <t>21 089 566 021</t>
  </si>
  <si>
    <t>Bituminous (Metallurgical and PCI)</t>
  </si>
  <si>
    <t>Kimberly Clark Corp (NYSE: KMB)</t>
  </si>
  <si>
    <t>Millicent</t>
  </si>
  <si>
    <t>Altona Refinery</t>
  </si>
  <si>
    <t>Exxon Mobil Corp (NYSE: XOM)</t>
  </si>
  <si>
    <t>Altona</t>
  </si>
  <si>
    <t>Montara Field</t>
  </si>
  <si>
    <t>Jadestone Energy plc (LON: JSE)</t>
  </si>
  <si>
    <t>27 004 210 164</t>
  </si>
  <si>
    <t>Darwin</t>
  </si>
  <si>
    <t>Yancoal - Moolarben</t>
  </si>
  <si>
    <t>Ulan</t>
  </si>
  <si>
    <t>Thermal</t>
  </si>
  <si>
    <t>ERF169131</t>
  </si>
  <si>
    <t>Moomba Carbon Capture and Storage Project</t>
  </si>
  <si>
    <t xml:space="preserve">Carbon Credits (Carbon Farming Initiative—Carbon Capture and Storage) Methodology Determination 2021
</t>
  </si>
  <si>
    <t xml:space="preserve">Carbon Capture
</t>
  </si>
  <si>
    <t xml:space="preserve">BEACH ENERGY LIMITED, Santos Limited
</t>
  </si>
  <si>
    <t xml:space="preserve">This project captures greenhouse gases that would otherwise be released into the atmosphere, transports them to one or more storage sites, and injects them into underground geological formations so that they are permanently stored.
</t>
  </si>
  <si>
    <t>Moomba South Central</t>
  </si>
  <si>
    <t xml:space="preserve">ERF170772
</t>
  </si>
  <si>
    <t>Moomba Lo-Heat – Phase 1 Project</t>
  </si>
  <si>
    <t>Santos Limited</t>
  </si>
  <si>
    <t xml:space="preserve">This project improves energy (fuel) efficiency by installing energy-consuming equipment as part of replacing, modifying or augmenting existing energy-consuming equipment.
</t>
  </si>
  <si>
    <t>21/06/2022</t>
  </si>
  <si>
    <t>Peabody Energy Corporation (NYSE: BTU) / CITIC Resources (HK.1205) / Wincheser Coal Pty Ltd / JFE Holdings (TYO: 5411) / Nippon Steel (TYO: 5401)</t>
  </si>
  <si>
    <t>thermal/PCI</t>
  </si>
  <si>
    <t>ERF107285 and ERF171724</t>
  </si>
  <si>
    <t>Dyno Nobel Moranbah Deaerator Energy Recovery Project (ACCUs generated) and Dyno Nobel Moranbah N2O Abatement Project (no ACCUs to date)</t>
  </si>
  <si>
    <t xml:space="preserve">Incitec Pivot Limited
</t>
  </si>
  <si>
    <t xml:space="preserve">This project improves energy (fuel) efficiency by modifying, installing, removing or replacing equipment that affects the energy consumption of existing energy-consuming equipment.
</t>
  </si>
  <si>
    <t xml:space="preserve">17/01/2017
</t>
  </si>
  <si>
    <t>Moranbah North</t>
  </si>
  <si>
    <t>ERF169184</t>
  </si>
  <si>
    <t>Moranbah North Waste Coal Mine Gas Power Station</t>
  </si>
  <si>
    <t xml:space="preserve">This project is a transitioning displacement electricity production project that involves the operation of former RET electricity production devices.
</t>
  </si>
  <si>
    <t xml:space="preserve">21/12/2021
</t>
  </si>
  <si>
    <t>Mount Isa Mines</t>
  </si>
  <si>
    <t>Mount Isa</t>
  </si>
  <si>
    <t>MACH ENERGY AUSTRALIA PTY LTD</t>
  </si>
  <si>
    <t xml:space="preserve">Droxford International </t>
  </si>
  <si>
    <t>34 608 495 441</t>
  </si>
  <si>
    <t>Bituminous</t>
  </si>
  <si>
    <t>Mount Thorley Warkworth Operations</t>
  </si>
  <si>
    <t>COAL &amp; ALLIED (NSW) PTY LIMITED</t>
  </si>
  <si>
    <t>47 000 013 249</t>
  </si>
  <si>
    <t>Mount Thorley Via Singleton</t>
  </si>
  <si>
    <t>Glencore Coal - Mt Owen (Open Cut) Mine</t>
  </si>
  <si>
    <t>thermal and semisoft coking coals</t>
  </si>
  <si>
    <t>Following a merger of the Glendell Mine and Mt Owen Coal Mine facilities into a single facility (Mt Owen Glendell Complex facility), the reported baseline determination for the Glendell Mine and Mt Owen Coal Mine facilities have been revoked under section 56 of the National Greenhouse and Energy Reporting (Safeguard Mechanism) Rule 2015 and a replacement reported baseline determination has been made for the Mt Owen Glendell Complex facility.</t>
  </si>
  <si>
    <t>CK Infrastructure Holdings (HKG: 1038)</t>
  </si>
  <si>
    <t>83 104 036 937</t>
  </si>
  <si>
    <t>Murrin Murrin East Nickel Mine</t>
  </si>
  <si>
    <t>Wangi Wangi</t>
  </si>
  <si>
    <t>Subbituminous (Thermal)</t>
  </si>
  <si>
    <t>Narngulu</t>
  </si>
  <si>
    <t>ILUKA RESOURCES LIMITED</t>
  </si>
  <si>
    <t>Iluka Resources Limited (ASX: ILU)</t>
  </si>
  <si>
    <t>14 008 763 666</t>
  </si>
  <si>
    <t>Narrabri Coal Mine - Baan Baa</t>
  </si>
  <si>
    <t>Whitehaven Coal (ASX: WHC)</t>
  </si>
  <si>
    <t>Baan Baa</t>
  </si>
  <si>
    <t>New Acland Open Cut Coal Mine</t>
  </si>
  <si>
    <t>NEW ACLAND COAL PTY LTD</t>
  </si>
  <si>
    <t>New Hope Corporation Limited (ASX: NHC)</t>
  </si>
  <si>
    <t>90 081 022 380</t>
  </si>
  <si>
    <t>Acland</t>
  </si>
  <si>
    <t>New Chum</t>
  </si>
  <si>
    <t xml:space="preserve">ERF163960
</t>
  </si>
  <si>
    <t>New Chum LFG Flaring Project</t>
  </si>
  <si>
    <t xml:space="preserve">Cleanaway Solid Waste Pty Ltd
</t>
  </si>
  <si>
    <t xml:space="preserve">This project upgrades an existing landfill gas collection system to capture and combust gas generated at the landfill from legacy and non-legacy waste.
</t>
  </si>
  <si>
    <t xml:space="preserve">24/11/2021
</t>
  </si>
  <si>
    <t>New Illawarra Road Landfill Facility</t>
  </si>
  <si>
    <t>SUEZ RECYCLING &amp; RECOVERY HOLDINGS PTY LIMITED</t>
  </si>
  <si>
    <t>Lucas Heights</t>
  </si>
  <si>
    <t>Newlands Coal</t>
  </si>
  <si>
    <t>Glenden</t>
  </si>
  <si>
    <t>reports with Glencore as operator: 2017 data was reoprted under Newlands Coal Complex but has been moved to Newlands Coal Complex including Newlands Northern UG to allow for comparison</t>
  </si>
  <si>
    <t>Mt Whaleback / Orebody 29,30 &amp; 35</t>
  </si>
  <si>
    <t>previously reported as MWB01 Mt Whaleback Mine - MNG Facility. data from those years has been added to this line for comparability</t>
  </si>
  <si>
    <t>Newmont Boddington Gold</t>
  </si>
  <si>
    <t>Newmont Corporation (NYSE: NEM)</t>
  </si>
  <si>
    <t>Boddington</t>
  </si>
  <si>
    <t>Centennial Coal Company Limited (ASX:CEY)</t>
  </si>
  <si>
    <t>68 101 508 865</t>
  </si>
  <si>
    <t>Fassifern</t>
  </si>
  <si>
    <t>mix</t>
  </si>
  <si>
    <t>multiple</t>
  </si>
  <si>
    <t>JEMENA NORTHERN GAS PIPELINE PTY LTD</t>
  </si>
  <si>
    <t>607 928 790</t>
  </si>
  <si>
    <t>Ningaloo Vision</t>
  </si>
  <si>
    <t>39 009 301 964</t>
  </si>
  <si>
    <t>This FPSO was likely in maintenance for up to 9 months of the 2021FY, so the lack of reporting in 2021 is probably fine but could be worth double checking the annual report</t>
  </si>
  <si>
    <t>Nickel West Kalgoorlie Smelter</t>
  </si>
  <si>
    <t>BHP BILLITON NICKEL WEST PTY LTD</t>
  </si>
  <si>
    <t>Feysville</t>
  </si>
  <si>
    <t>Kwinana Nickel Refinery</t>
  </si>
  <si>
    <t>East Rockingham</t>
  </si>
  <si>
    <t>Mt Keith Nickel Operation</t>
  </si>
  <si>
    <t>Norske Skog Boyer</t>
  </si>
  <si>
    <t>Norske Skog ASA (FRA: 0BQ)</t>
  </si>
  <si>
    <t>Boyer</t>
  </si>
  <si>
    <t>ERF104102</t>
  </si>
  <si>
    <t>Norske Skog Boyer Mill Heat Recovery Project</t>
  </si>
  <si>
    <t xml:space="preserve">Norske Skog Paper Mills (Australia) Limited
</t>
  </si>
  <si>
    <t xml:space="preserve">27/06/2016
</t>
  </si>
  <si>
    <t xml:space="preserve">CAC988641
</t>
  </si>
  <si>
    <t>Via Glenden</t>
  </si>
  <si>
    <t>ERF105101</t>
  </si>
  <si>
    <t>North Goonyella Waste Coal Mine Gas Power Station</t>
  </si>
  <si>
    <t>Industrial Fugitives</t>
  </si>
  <si>
    <t xml:space="preserve">EDL CSM (Qld) Pty Ltd
</t>
  </si>
  <si>
    <t xml:space="preserve">31/10/2016
</t>
  </si>
  <si>
    <t xml:space="preserve">CAC615972
</t>
  </si>
  <si>
    <t>Woodside Energy Group Ltd (ASX:WDS)</t>
  </si>
  <si>
    <t>Via Dampier</t>
  </si>
  <si>
    <t>North West Shelf Project has two MYMPs back to back</t>
  </si>
  <si>
    <t>Northern Endeavour</t>
  </si>
  <si>
    <t>NORTHERN OIL &amp; GAS AUSTRALIA PTY LTD</t>
  </si>
  <si>
    <t>NOGA went into liquidation in 2020 - Cwth Govt now resonsible for maintaining and decomissioning</t>
  </si>
  <si>
    <t>33 609 551 671</t>
  </si>
  <si>
    <t>Via Darwin</t>
  </si>
  <si>
    <t>No current baseline - baseline expired in EOFY2020 and has not been updated as of June 22 2022</t>
  </si>
  <si>
    <t>BHP Group Limited (ASX: BHP) Mitsubishi Development Pty Ltd</t>
  </si>
  <si>
    <t>Dysart</t>
  </si>
  <si>
    <t>Shoalhaven Starches Bomaderry</t>
  </si>
  <si>
    <t>Manildra Group</t>
  </si>
  <si>
    <t>Bomaderry</t>
  </si>
  <si>
    <t>Nyrstar Hobart</t>
  </si>
  <si>
    <t>NYRSTAR HOBART PTY LTD</t>
  </si>
  <si>
    <t>Nyrstar NV (EBR: NYR)</t>
  </si>
  <si>
    <t>Lutana</t>
  </si>
  <si>
    <t>Unclear why facility did not report in 2021</t>
  </si>
  <si>
    <t>Nyrstar Port Pirie</t>
  </si>
  <si>
    <t>Port Pirie</t>
  </si>
  <si>
    <t>Visy Melbourne Plant</t>
  </si>
  <si>
    <t>O-I OPERATIONS (AUSTRALIA) PTY LTD</t>
  </si>
  <si>
    <t>Visy Industries Holdings Pty Ltd</t>
  </si>
  <si>
    <t>94 004 230 326</t>
  </si>
  <si>
    <t>Spotswood</t>
  </si>
  <si>
    <t>Oaky Creek Coal</t>
  </si>
  <si>
    <t>Glencore (LON: GLEN) /  Sumitomo Corporation (TYO: 8053) / Itochu Corp (TYO: 8001)</t>
  </si>
  <si>
    <t>Tieri</t>
  </si>
  <si>
    <t>ERF169259 and EOP101244</t>
  </si>
  <si>
    <t>Oaky Creek 1 Waste Coal Mine Gas Power Station and Oaky Creek 2 Waste Coal Mine Gas Power Station</t>
  </si>
  <si>
    <t>EDL (OCI) Pty Limited</t>
  </si>
  <si>
    <t>This project is a transitioning displacement electricity production project that involves the operation of former RET electricity production devices. and This project is a displacement electricity production project that is installing and operating electricity production devices to capture and combust the methane component of coal mine waste gas from the mine.</t>
  </si>
  <si>
    <t>22/12/2021</t>
  </si>
  <si>
    <t>CAC102443</t>
  </si>
  <si>
    <t>Medium volatility coking coal</t>
  </si>
  <si>
    <t>BHP Olympic Dam</t>
  </si>
  <si>
    <t>BHP OLYMPIC DAM CORPORATION PTY LTD</t>
  </si>
  <si>
    <t>99 007 835 761</t>
  </si>
  <si>
    <t>Roxby Downs</t>
  </si>
  <si>
    <t>ODS01 name mispelled in 2018 and 2020 data</t>
  </si>
  <si>
    <t>Visy Glass - Adelaide</t>
  </si>
  <si>
    <t>West Croydon</t>
  </si>
  <si>
    <t>Visy Sydney Plant</t>
  </si>
  <si>
    <t>Penrith</t>
  </si>
  <si>
    <t>Paper Australia Maryvale Mill</t>
  </si>
  <si>
    <t>PAPER AUSTRALIA PTY LTD</t>
  </si>
  <si>
    <t>Nippon Paper Industries Co., Ltd (TYO: 3863)</t>
  </si>
  <si>
    <t>63 061 583 533</t>
  </si>
  <si>
    <t>Morwell</t>
  </si>
  <si>
    <t>Orora Glass</t>
  </si>
  <si>
    <t>Orora Limited (ASX: ORA)</t>
  </si>
  <si>
    <t>Gawler Belt</t>
  </si>
  <si>
    <t>Waarre</t>
  </si>
  <si>
    <t>Yabulu Refinery</t>
  </si>
  <si>
    <t>QUEENSLAND NICKEL SALES PTY LTD</t>
  </si>
  <si>
    <t>QN Group</t>
  </si>
  <si>
    <t>14 054 117 921</t>
  </si>
  <si>
    <t>Yabulu</t>
  </si>
  <si>
    <t>On 19 January 2016 the company entered into voluntary administration</t>
  </si>
  <si>
    <t>suspended since 2016.</t>
  </si>
  <si>
    <t>Innawanga</t>
  </si>
  <si>
    <t>Parkhurst Magnesia Plant</t>
  </si>
  <si>
    <t>QMAG PTY LIMITED</t>
  </si>
  <si>
    <t>Refratechnik Group</t>
  </si>
  <si>
    <t>Parkhurst</t>
  </si>
  <si>
    <t>Southshire</t>
  </si>
  <si>
    <t>Dajarra</t>
  </si>
  <si>
    <t>Pinjarra Alcoa Alumina Refinery and Alinta Cogeneration Plant</t>
  </si>
  <si>
    <t>Alcoa Corporation (NYSE: AA) / Alumina Limited (ASX: AWC)</t>
  </si>
  <si>
    <t>Pinjarra</t>
  </si>
  <si>
    <t>Woodside (ASX: WDS)</t>
  </si>
  <si>
    <t>Karratha</t>
  </si>
  <si>
    <t>EOP100203, EOP100654, EOP100818 and ERF101451</t>
  </si>
  <si>
    <t>Woodside Pluto Carbon Offset Project - Stage 1, Woodside Pluto Carbon Offset Project - Stage 2, Woodside Pluto Carbon Offset Project - Stage 3 and Woodside Pluto Carbon Offset Project - Stage 4</t>
  </si>
  <si>
    <t xml:space="preserve">Carbon Credits (Carbon Farming Initiative) (Reforestation and Afforestation) Methodology Determination 2013
</t>
  </si>
  <si>
    <t xml:space="preserve">Vegetation
</t>
  </si>
  <si>
    <t xml:space="preserve">Woodside Burrup Pty. Ltd.
</t>
  </si>
  <si>
    <t xml:space="preserve">This project establishes permanent plantings of Eucalyptus Loxophleba and Eucalyptus Polybractea trees on land that was previously used for agricultural purposes.
</t>
  </si>
  <si>
    <t>6/06/2013, 2/06/2014, 10/10/2014, and 6/08/2015</t>
  </si>
  <si>
    <t>"For stage 3: 18/08/2022 Variation of project method - from  Carbon Credits (Carbon Farming Initiative) (Reforestation and Afforestation - 1.2) Methodology Determination 2013 to Carbon Credits (Carbon Farming Initiative) (Reforestation by Environmental or Mallee Plantings - FullCAM) Methodology Determination 2014"</t>
  </si>
  <si>
    <t>Alcoa Point Henry Smelter</t>
  </si>
  <si>
    <t>Point Henry</t>
  </si>
  <si>
    <t>Poitrel Coal Mine</t>
  </si>
  <si>
    <t>Via Moranbah</t>
  </si>
  <si>
    <t>hard coking coal and PCI</t>
  </si>
  <si>
    <t>Pt Bonython Oil</t>
  </si>
  <si>
    <t>BlueScope Steel Port Kembla Steelworks</t>
  </si>
  <si>
    <t>BLUESCOPE STEEL (AIS) PTY LTD</t>
  </si>
  <si>
    <t>BlueScope Steel Limited (ASX: BSL)</t>
  </si>
  <si>
    <t>19 000 019 625</t>
  </si>
  <si>
    <t>ERF104237</t>
  </si>
  <si>
    <t xml:space="preserve">BlueScope Port Kembla Steelworks Installation and Commissioning of  22 Turbo Alternator (Revoked)
</t>
  </si>
  <si>
    <t xml:space="preserve">BLUESCOPE STEEL (AIS) PTY. LTD.
</t>
  </si>
  <si>
    <t>This project improves energy (electricity and fuel) efficiency by installing equipment that generates electricity at a location where existing energy-consuming equipment consumes electricity obtained from an electricity grid and the electricity generated by the installed equipment will be used in substitution for the electricity obtained from an electricity grid.</t>
  </si>
  <si>
    <t>30/09/2016</t>
  </si>
  <si>
    <t>24/06/2021 This project has been revoked under section 30 of the CFI Rule.</t>
  </si>
  <si>
    <t>Grange Resources Limited (ASX: GRR)</t>
  </si>
  <si>
    <t>Port Latta</t>
  </si>
  <si>
    <t>Port Latta Pelletising Plant has two two-year MYMPs back to back</t>
  </si>
  <si>
    <t>Alcoa Portland Aluminium</t>
  </si>
  <si>
    <t>ALCOA PORTLAND ALUMINIUM PTY LTD</t>
  </si>
  <si>
    <t>Portland</t>
  </si>
  <si>
    <t>Yancoal - Premier</t>
  </si>
  <si>
    <t>PREMIER COAL LIMITED</t>
  </si>
  <si>
    <t>21 008 672 599</t>
  </si>
  <si>
    <t>sub bituminous steaming coal</t>
  </si>
  <si>
    <t>Rail Operations Port Hedland</t>
  </si>
  <si>
    <t>Port Hedland</t>
  </si>
  <si>
    <t>Prominent Hill Operations</t>
  </si>
  <si>
    <t>OZ MINERALS PROMINENT HILL OPERATIONS PTY LTD</t>
  </si>
  <si>
    <t>OZ Minerals Limited (ASX: OZL)</t>
  </si>
  <si>
    <t>63 091 546 691</t>
  </si>
  <si>
    <t>Coober Pedy</t>
  </si>
  <si>
    <t>QANTAS AIRWAYS LIMITED</t>
  </si>
  <si>
    <t>Qantas Airways Limited (ASX: QAN)</t>
  </si>
  <si>
    <t>16 009 661 901</t>
  </si>
  <si>
    <t xml:space="preserve">ERF101810
</t>
  </si>
  <si>
    <t xml:space="preserve">Qantas Airways Limited Emissions Reduction Fund Program (Revoked)
</t>
  </si>
  <si>
    <t xml:space="preserve">Carbon Credits (Carbon Farming Initiative - Aviation) Methodology Determination 2015 
</t>
  </si>
  <si>
    <t>Qantas Airways Limited</t>
  </si>
  <si>
    <t>This project involves modifying existing aircraft, changing energy sources or the mix of energy sources for aircraft and changing operational practices in relation to aircraft.</t>
  </si>
  <si>
    <t>20/01/2022 This project has been revoked under section 30 of the CFI Rule.</t>
  </si>
  <si>
    <t>China National Bluestar (Group) Co. Ltd</t>
  </si>
  <si>
    <t>Qenos Hydrocarbon Terminal</t>
  </si>
  <si>
    <t>Port Botany</t>
  </si>
  <si>
    <t>Shell PLC (LON: SHEL)</t>
  </si>
  <si>
    <t>PACIFIC NATIONAL PTY LTD</t>
  </si>
  <si>
    <t>Australian Logistics Acquisition Investments Pty Limited</t>
  </si>
  <si>
    <t>39 098 060 550</t>
  </si>
  <si>
    <t>VEOLIA ENVIRONMENTAL SERVICES (AUSTRALIA) PTY LTD</t>
  </si>
  <si>
    <t>Veolia Environnement SA (EPA: VIE)</t>
  </si>
  <si>
    <t>20 051 316 584</t>
  </si>
  <si>
    <t>Tarago</t>
  </si>
  <si>
    <t>ERF101356 and EOP100559</t>
  </si>
  <si>
    <t>Ti Tree Energy Generation Project and Ti Tree Gas to Energy Project</t>
  </si>
  <si>
    <t xml:space="preserve">Veolia Environmental Services (Australia) Pty Ltd
</t>
  </si>
  <si>
    <t>3/07/2015 and 12/11/2012</t>
  </si>
  <si>
    <t xml:space="preserve">CAC102353
</t>
  </si>
  <si>
    <t>29/07/2015 Variation of project method - from the Carbon Credits (Capture and Combustion of Methane in Landfill Gas from Legacy Waste) Methodology Determination 2012 to the Carbon Credits (Carbon Farming Initiative - Landfill Gas) Methodology Determination 2015.</t>
  </si>
  <si>
    <t>Wattle Glen</t>
  </si>
  <si>
    <t>Redbank Plains</t>
  </si>
  <si>
    <t>EOP100560</t>
  </si>
  <si>
    <t>Wattle Glen Landfill Gas Project</t>
  </si>
  <si>
    <t>This project transitioned from a revoked ('CFI') method and continues to capture and combust gas generated at the landfill from legacy and non-legacy waste.</t>
  </si>
  <si>
    <t xml:space="preserve">25/02/2014
</t>
  </si>
  <si>
    <t xml:space="preserve">CAC254087
</t>
  </si>
  <si>
    <t>24/03/2015 Variation of project method - from the Carbon Credits (Capture and Combustion of Methane in Landfill Gas from Legacy Waste: Upgrade projects) Methodology Determination 2012 (made on 13 December 2012) to the Carbon Credits (Carbon Farming Initiative - Landfill Gas) Methodology Determination 2015.</t>
  </si>
  <si>
    <t>Alliance Aviation Services Ltd (ASX: AQZ)</t>
  </si>
  <si>
    <t>QAL</t>
  </si>
  <si>
    <t>Curtis Island LNG Plant</t>
  </si>
  <si>
    <t>QCLNG OPERATING COMPANY PTY LTD</t>
  </si>
  <si>
    <t>19 138 872 385</t>
  </si>
  <si>
    <t>QNP Ammonium Nitrate Plant</t>
  </si>
  <si>
    <t>Incitec Pivot Pty Ltd (ASX: IPL) / Wesfarmers (ASX: WES)</t>
  </si>
  <si>
    <t>Holcim AG (SWX: HOLN) / HeidelbergCement AG (ETR: HEI)</t>
  </si>
  <si>
    <t>ERF174186</t>
  </si>
  <si>
    <t>Railton alternative fuel increase program</t>
  </si>
  <si>
    <t>This project reduces emissions by changing the energy sources or mix of energy sources used by existing emissions-producing equipment, and by modifying, installing, removing or replacing equipment that affects the production of emissions by existing emissions-producing equipment.</t>
  </si>
  <si>
    <t>Ranger Operations</t>
  </si>
  <si>
    <t>ENERGY RESOURCES OF AUSTRALIA LTD.</t>
  </si>
  <si>
    <t>71 008 550 865</t>
  </si>
  <si>
    <t>Jabiru</t>
  </si>
  <si>
    <t>Ravensthorpe Nickel Operations</t>
  </si>
  <si>
    <t>First Quantum Minerals Limited (TSE: FM)</t>
  </si>
  <si>
    <t>Munglinup</t>
  </si>
  <si>
    <t>Ravensworth Mine Complex</t>
  </si>
  <si>
    <t>Glencore (LON: GLEN) / Itochu Corp (TYO: 8001)</t>
  </si>
  <si>
    <t>Ravensworth Via Singleton</t>
  </si>
  <si>
    <t>Ravensworth Underground Mine</t>
  </si>
  <si>
    <t>Glencore (LON: GLEN) / Marubeni Corporation (TYO: 8002) / Posco Holdings Inc (KRX: 005490)</t>
  </si>
  <si>
    <t>suspended October 2014</t>
  </si>
  <si>
    <t>semi-soft coking coal reserve. The product was blended with hard coking coal and used in steel production or for power generation.</t>
  </si>
  <si>
    <t>Eastern Metropolitan Regional Council</t>
  </si>
  <si>
    <t>89 631 866 056</t>
  </si>
  <si>
    <t>Red Hill</t>
  </si>
  <si>
    <t>ERF165179</t>
  </si>
  <si>
    <t>Red Hill Landfill Gas Power Station Upgrade Project</t>
  </si>
  <si>
    <t>Carbon Credits (Carbon Farming Initiative—Electricity Generation from Landfill Gas) Methodology Determination 2021</t>
  </si>
  <si>
    <t>EDL Holdings (Australia) Pty Ltd</t>
  </si>
  <si>
    <t>This project upgrades an existing landfill gas collection system to capture and combust gas generated at the landfill from legacy and non-legacy waste.</t>
  </si>
  <si>
    <t>21/05/2021</t>
  </si>
  <si>
    <t>18/01/2022 Variation of project method - from Carbon Credits (Carbon Farming Initiative - Landfill Gas) Methodology Determination 2015 (F2015L00059) to Carbon Credits (Carbon Farming Initiative — Electricity Generation from Landfill Gas) Methodology Determination 2021 (F2021L01254).</t>
  </si>
  <si>
    <t>Combabula &amp; Reedy Creek</t>
  </si>
  <si>
    <t>ConocoPhillips (NYSE: COP) / Origin Energy Ltd (ASX: ORG) / China Petroleum &amp; Chemical Ord Shs A (SHA: 600028)</t>
  </si>
  <si>
    <t>Yuleba North</t>
  </si>
  <si>
    <t>AMPOL LIMITED</t>
  </si>
  <si>
    <t>Ampol Limited (ASX: ALD)</t>
  </si>
  <si>
    <t>40 004 201 307</t>
  </si>
  <si>
    <t>Lytton</t>
  </si>
  <si>
    <t>RIO TINTO SHIPPING (ASIA) PTE LTD</t>
  </si>
  <si>
    <t>Weipa</t>
  </si>
  <si>
    <t>RTA Yarwun Pty Ltd</t>
  </si>
  <si>
    <t>Bloomfield Group</t>
  </si>
  <si>
    <t>25 003 824 244</t>
  </si>
  <si>
    <t>thermal coal and semi-soft coking coal</t>
  </si>
  <si>
    <t>Rochedale</t>
  </si>
  <si>
    <t>AUSTRAL BRICKS QLD PTY LTD</t>
  </si>
  <si>
    <t>Brickworks Limited (ASX: BKW)</t>
  </si>
  <si>
    <t>72 002 765 795</t>
  </si>
  <si>
    <t>EOP100183</t>
  </si>
  <si>
    <t>Rochedale Landfill Gas Project</t>
  </si>
  <si>
    <t xml:space="preserve">22/03/2013
</t>
  </si>
  <si>
    <t xml:space="preserve">CAC783510
</t>
  </si>
  <si>
    <t>"06/03/2015 Variation of project method - from the Carbon Credits (Capture and Combustion of Methane in Landfill Gas from Legacy Waste) Methodology Determination 2012 to Carbon Credits (Carbon Farming Initiative - Landfill Gas) Methodology Determination 2015 and 11/02/2022 Variation of project method - from Carbon Credits (Carbon Farming Initiative - Landfill Gas) Methodology Determination 2015 (F2015L00059) to Carbon Credits (Carbon Farming Initiative - Electricity Generation from Landfill Gas) Methodology Determination 2021 (F2021L01254)."</t>
  </si>
  <si>
    <t>Glencore Coal Rolleston Open Cut Mine</t>
  </si>
  <si>
    <t>Rolleston</t>
  </si>
  <si>
    <t>Roma</t>
  </si>
  <si>
    <t>ROY HILL HOLDINGS PTY LTD</t>
  </si>
  <si>
    <t>Hancock Prospecting Pty Ltd / Marubeni Corporation (TYO: 8002) / Posco Holdings Inc (KRX: 005490) / China Steel Corporation (TPE: 2002)</t>
  </si>
  <si>
    <t>71 123 721 077</t>
  </si>
  <si>
    <t>indal Steel &amp; Power Limited (NSE: JINDALSTEL)</t>
  </si>
  <si>
    <t>Russell Vale</t>
  </si>
  <si>
    <t>Veolia Environmental Services</t>
  </si>
  <si>
    <t>Dry Creek</t>
  </si>
  <si>
    <t>Savage River</t>
  </si>
  <si>
    <t>Eastern Treatment Plant</t>
  </si>
  <si>
    <t>MELBOURNE WATER CORPORATION</t>
  </si>
  <si>
    <t>Victorian Government</t>
  </si>
  <si>
    <t>81 945 386 953</t>
  </si>
  <si>
    <t>Bangholme</t>
  </si>
  <si>
    <t>Western Treatment Plant</t>
  </si>
  <si>
    <t>Werribee</t>
  </si>
  <si>
    <t>IRON ORE MINES</t>
  </si>
  <si>
    <t>TAHMOOR COAL PTY LIMITED</t>
  </si>
  <si>
    <t>Tahmoor</t>
  </si>
  <si>
    <t>ERF169256</t>
  </si>
  <si>
    <t>Tahmoor Waste Coal Mine Gas Power Station</t>
  </si>
  <si>
    <t xml:space="preserve">Industrial Fugitives
</t>
  </si>
  <si>
    <t>mix: majority hard coking coal while also producing "small amounts" of "a speciality blend" coal</t>
  </si>
  <si>
    <t>Tahmoor Coal Mine is now in baseline table as SIMEC Mining - Tahmoor Coal Mine. Reported data has been moved to this line</t>
  </si>
  <si>
    <t>Sino Iron Project – Port Area</t>
  </si>
  <si>
    <t>CITIC Ltd (HKG: 0267)</t>
  </si>
  <si>
    <t>Cape Preston</t>
  </si>
  <si>
    <t>Minerva Mine</t>
  </si>
  <si>
    <t>SOJITZ MINERVA MINING PTY LTD</t>
  </si>
  <si>
    <t xml:space="preserve">Sojitz Corp (TYO: 2768) </t>
  </si>
  <si>
    <t>35 108 510 309</t>
  </si>
  <si>
    <t>Springsure</t>
  </si>
  <si>
    <t>Solomon Hub</t>
  </si>
  <si>
    <t>ERF111369</t>
  </si>
  <si>
    <t>Solomon Emissions Reduction Project (Revoked)</t>
  </si>
  <si>
    <t>Fortescue Metals Group Ltd</t>
  </si>
  <si>
    <t>This project improves energy (fuel) efficiency by changing the way existing energy-consuming equipment is controlled or operated.</t>
  </si>
  <si>
    <t>26/07/2017</t>
  </si>
  <si>
    <t>22/04/2021 This project has been revoked under section 30 of the CFI Rule.</t>
  </si>
  <si>
    <t>Sonoma Coal Mine</t>
  </si>
  <si>
    <t>SONOMA MINE MANAGEMENT PTY LTD</t>
  </si>
  <si>
    <t>QCoal Group</t>
  </si>
  <si>
    <t>96 124 677 443</t>
  </si>
  <si>
    <t>hard coking and thermal coal</t>
  </si>
  <si>
    <t>Denison Gas</t>
  </si>
  <si>
    <t>86 625 883 561</t>
  </si>
  <si>
    <t>Westgrove</t>
  </si>
  <si>
    <t>South Walker Creek Mine Operations</t>
  </si>
  <si>
    <t>coking coal and PCI coal</t>
  </si>
  <si>
    <t>34 008 675 018</t>
  </si>
  <si>
    <t>Durham Downs</t>
  </si>
  <si>
    <t>INPEX Operations Australia - Offshore</t>
  </si>
  <si>
    <t>Inpex Corporation (TYO: 1605)</t>
  </si>
  <si>
    <t>~820 Km Sw Of Darwin; ~210 Km Nw Of Wa Coastline</t>
  </si>
  <si>
    <t>ERF101339</t>
  </si>
  <si>
    <t xml:space="preserve">Ichthys Biosequestration Assessment Project
</t>
  </si>
  <si>
    <t>Carbon Credits (Carbon Farming Initiative) (Reforestation and Afforestation - 1.2) Methodology Determination 2013</t>
  </si>
  <si>
    <t>Vegetation</t>
  </si>
  <si>
    <t>INPEX Operations Australia Pty Ltd</t>
  </si>
  <si>
    <t>This project establishes permanent plantings of Eucalyptus polybractea and Eucalyptus loxophleba trees on land that was previously used for agricultural purposes.</t>
  </si>
  <si>
    <t>-</t>
  </si>
  <si>
    <t>unclear, maybe not in NPI data</t>
  </si>
  <si>
    <t>STATE TRANSIT AUTHORITY OF NSW</t>
  </si>
  <si>
    <t>NSW Government</t>
  </si>
  <si>
    <t>51 750 635 629</t>
  </si>
  <si>
    <t>AngloGold Ashanti Limited (ASX: AGG)</t>
  </si>
  <si>
    <t>Swanbank Waste Management Facility</t>
  </si>
  <si>
    <t>REMONDIS AUSTRALIA PTY LTD</t>
  </si>
  <si>
    <t>Rethmann Group</t>
  </si>
  <si>
    <t>95 002 429 781</t>
  </si>
  <si>
    <t>Swanbank</t>
  </si>
  <si>
    <t>EOP100172 and ERF167268</t>
  </si>
  <si>
    <t>Swanbank Landfill Gas Project and Swanbank Landfill Gas Upgrade Project</t>
  </si>
  <si>
    <t>LMS Energy Pty Ltd</t>
  </si>
  <si>
    <t>CAC143500 and CAC722776</t>
  </si>
  <si>
    <t>Condamine South</t>
  </si>
  <si>
    <t>Tarrawonga Coal Mine</t>
  </si>
  <si>
    <t>TARRAWONGA COAL PTY LTD</t>
  </si>
  <si>
    <t>73 100 742 185</t>
  </si>
  <si>
    <t>Telfer Operations</t>
  </si>
  <si>
    <t>Telfer</t>
  </si>
  <si>
    <t>TEMCO</t>
  </si>
  <si>
    <t>TASMANIAN ELECTRO METALLURGICAL COMPANY PROPRIETARY LIMITED</t>
  </si>
  <si>
    <t>23 004 456 035</t>
  </si>
  <si>
    <t>Bell Bay</t>
  </si>
  <si>
    <t>Maddingley Brown Coal</t>
  </si>
  <si>
    <t>MADDINGLEY BROWN COAL PTY LTD</t>
  </si>
  <si>
    <t>Calleja Group</t>
  </si>
  <si>
    <t>63 604 564 597</t>
  </si>
  <si>
    <t>Bacchus Marsh</t>
  </si>
  <si>
    <t>ERF121917</t>
  </si>
  <si>
    <t>Maddingly LFG Project</t>
  </si>
  <si>
    <t xml:space="preserve">IGAS OPERATIONS PTY LTD
</t>
  </si>
  <si>
    <t xml:space="preserve">This project installs a new landfill gas collection system to capture and combust gas generated at the landfill from legacy and non-legacy waste.
</t>
  </si>
  <si>
    <t>14/06/2018</t>
  </si>
  <si>
    <t>Thunderbox Operations</t>
  </si>
  <si>
    <t>Leinster</t>
  </si>
  <si>
    <t>Arrow Energy Holdings Pty Ltd (Shell PLC (LON: SHEL) / PetroChina Company Limited (SHA: 601857)</t>
  </si>
  <si>
    <t>17 114 927 507</t>
  </si>
  <si>
    <t>TOLL HOLDINGS LIMITED</t>
  </si>
  <si>
    <t>Japan Post Holdings Co Ltd (TYO: 6178)</t>
  </si>
  <si>
    <t>25 006 592 089</t>
  </si>
  <si>
    <t>Mt Tom Price Mine</t>
  </si>
  <si>
    <t>TOMAGO ALUMINIUM COMPANY PTY LTD</t>
  </si>
  <si>
    <t>Rio Tinto Group (ASX: RIO) / CSR Limited (ASX: CSR) / Hydro Aluminium</t>
  </si>
  <si>
    <t>68 001 862 228</t>
  </si>
  <si>
    <t>Tomago</t>
  </si>
  <si>
    <t>Plumridge Lakes</t>
  </si>
  <si>
    <t>TT-Line Port Melbourne</t>
  </si>
  <si>
    <t>Tasmanian Government</t>
  </si>
  <si>
    <t>Port Melbourne</t>
  </si>
  <si>
    <t>80 000 189 248</t>
  </si>
  <si>
    <t>both Gunnedah and Sydney Basins</t>
  </si>
  <si>
    <t>United Colliery</t>
  </si>
  <si>
    <t>Warkworth</t>
  </si>
  <si>
    <t>Varanus Island Operations</t>
  </si>
  <si>
    <t>Onslow</t>
  </si>
  <si>
    <t>ERF130290 and ERF166387</t>
  </si>
  <si>
    <t>Varanus Island Control System and Process Improvement (Revoked) and Varanus Island Power Optimisation Project</t>
  </si>
  <si>
    <t>Quadrant Energy Australia Limited (revoked) and Santos Limited</t>
  </si>
  <si>
    <t>This project improves energy (fuel) efficiency by changing the way existing energy-consuming equipment is controlled or operated. (revoked) and This project improves energy (fuel) efficiency by (a) installing energy consuming equipment as part of replacing, modifying or augmenting existing energy consuming equipment and (b)  changing the way existing energy consuming equipment is controlled or operated.</t>
  </si>
  <si>
    <t>6/03/2019 (revoked) and 7/09/2021</t>
  </si>
  <si>
    <t>one is revoked, one is active</t>
  </si>
  <si>
    <t>14/02/2022 This project has been revoked under section 30 of the CFI Rule. (that applies to ERF130290 only)</t>
  </si>
  <si>
    <t>CSL Limted (ASX: CSL)</t>
  </si>
  <si>
    <t>Bain Capital</t>
  </si>
  <si>
    <t>Visy Paper 8</t>
  </si>
  <si>
    <t>VISY PAPER PTY LTD</t>
  </si>
  <si>
    <t>43 104 958 581</t>
  </si>
  <si>
    <t>Hemmant</t>
  </si>
  <si>
    <t>ERF164457 and ERF164493</t>
  </si>
  <si>
    <t>VP8 Fuel Substitution and VP* Landfill Avoidance</t>
  </si>
  <si>
    <t>Carbon Credits (Carbon Farming Initiative - Industrial Electricity and Fuel Efficiency) Methodology Determination 2015 and Carbon Credits (Carbon Farming Initiative - Alternative Waste Treatment) Methodology Determination 2015</t>
  </si>
  <si>
    <t>Energy Efficiency and Waste</t>
  </si>
  <si>
    <t xml:space="preserve">Visy Paper Pty. Ltd. as the trustee for Southern Paper Converters Trust
</t>
  </si>
  <si>
    <t>This project improves energy (electricity and fuel) efficiency by: (a) modifying, removing or replacing existing energy-consuming equipment; (c) changing the way existing energy-consuming equipment is controlled or operated; (d) changing the energy sources or mix of energy sources used by existing energy consuming equipment; (e) modifying, installing, removing or replacing equipment that affects the energy consumption of existing energy-consuming equipment; and (f) installing equipment that generates electricity at a location where existing energy-consuming equipment consumes electricity obtained from an electricity grid and the electricity generated by the installed equipment will be used in substitution for the electricity obtained from an electricity grid. and This project is a new project that diverts mixed solid waste from landfills to the waste treatment facility and processes that waste to produce a combustible fuel substitute.</t>
  </si>
  <si>
    <t>25/05/2021 (both projects)</t>
  </si>
  <si>
    <t>Barrow Island Operations</t>
  </si>
  <si>
    <t>Chevron Corporation (NYSE: CVX)</t>
  </si>
  <si>
    <t>Wagerup</t>
  </si>
  <si>
    <t>Wambo Mine</t>
  </si>
  <si>
    <t>Warkworth Mining Limited</t>
  </si>
  <si>
    <t>96 004 447 938</t>
  </si>
  <si>
    <t>Mt Thorley Via Singleton</t>
  </si>
  <si>
    <t>Werris Creek No 2 Coal Mine</t>
  </si>
  <si>
    <t>WERRIS CREEK COAL PTY LTD</t>
  </si>
  <si>
    <t>Whitehaven Coal Ltd (ASX: WHC)</t>
  </si>
  <si>
    <t>69 107 169 102</t>
  </si>
  <si>
    <t>Werris Creek</t>
  </si>
  <si>
    <t>Bituminous (Thermal &amp; Met)</t>
  </si>
  <si>
    <t>Rio Tinto Limited (ASX: RIO) / Mitsui &amp; Co Ltd (TYO: 8031) / Nippon Steel Corp (TYO: 5401) / Sumitomo Corp (TYO: 8053)</t>
  </si>
  <si>
    <t>West Wallsend Colliery</t>
  </si>
  <si>
    <t>OCEANIC COAL AUSTRALIA LIMITED</t>
  </si>
  <si>
    <t>39 003 856 782</t>
  </si>
  <si>
    <t>Killingworth</t>
  </si>
  <si>
    <t>Environmental management activities are continuing.</t>
  </si>
  <si>
    <t>ERF168879</t>
  </si>
  <si>
    <t>Western Port Works Continuous Paint Line #2 (CPL2) Oven replacement Project</t>
  </si>
  <si>
    <t xml:space="preserve">Carbon Credits (Carbon Farming Initiative—Industrial and Commercial Emissions Reduction) Methodology Determination 2021
</t>
  </si>
  <si>
    <t>This project improves energy (fuel) efficiency by installing energy-consuming equipment as part of replacing, modifying or augmenting existing energy-consuming equipment.</t>
  </si>
  <si>
    <t>01/06/2022 Variation of project method - from Carbon Credits (Carbon Farming Initiative—Industrial Electricity and Fuel Efficiency) Methodology Determination 2015 to Carbon Credits (Carbon Farming Initiative—Industrial and Commercial Emissions Reduction) Methodology Determination 2021.</t>
  </si>
  <si>
    <t>Wheatstone Platform</t>
  </si>
  <si>
    <t>Wheatstone GTP</t>
  </si>
  <si>
    <t>Chevron (NYSE: CVX)</t>
  </si>
  <si>
    <t>25 147 531 226</t>
  </si>
  <si>
    <t>Talandji</t>
  </si>
  <si>
    <t>93 007 683 454</t>
  </si>
  <si>
    <t>Macalister</t>
  </si>
  <si>
    <t>Wongawilli Colliery</t>
  </si>
  <si>
    <t>WONGAWILLI COAL PTY LTD</t>
  </si>
  <si>
    <t xml:space="preserve">Wollongong Coal Limited (ASX Code: WLC) </t>
  </si>
  <si>
    <t>77 111 928 762</t>
  </si>
  <si>
    <t>West Dapto</t>
  </si>
  <si>
    <t>EOP100181 and ERF101358</t>
  </si>
  <si>
    <t>Woodlawn Bioreactor Project and Woodlawn Energy Generation Project</t>
  </si>
  <si>
    <t>17/05/2013 and 03/07/2015</t>
  </si>
  <si>
    <t>CAC254087 and CAC102472</t>
  </si>
  <si>
    <t xml:space="preserve">24/03/2015 Variation of project method - from the Carbon Credits (Capture and Combustion of Methane in Landfill Gas from Legacy Waste) Methodology Determination 2012 to the Carbon Credits (Carbon Farming Initiative - Landfill Gas) Methodology Determination 2015.
</t>
  </si>
  <si>
    <t>Worsley Refinery</t>
  </si>
  <si>
    <t>Marillana Creek - Yandi</t>
  </si>
  <si>
    <t>Yancoal - Yarrabee</t>
  </si>
  <si>
    <t>Bituminous (Met, PCI)</t>
  </si>
  <si>
    <t>Orica Yarwun Site</t>
  </si>
  <si>
    <t>Yarwun Via Gladstone</t>
  </si>
  <si>
    <t>ERF172930 and ERF123378</t>
  </si>
  <si>
    <t>Orica Yarwun Nitrates Decarbonisation Project and Optimise alumina processing temperature at Yarwun refinery</t>
  </si>
  <si>
    <t>Carbon Credits (Carbon Farming Initiative - Facilities) Methodology Determination 2015 and Carbon Credits (Carbon Farming Initiative - Industrial Electricity and Fuel Efficiency) Methodology Determination 2015</t>
  </si>
  <si>
    <t>Facilities and Energy Efficiency</t>
  </si>
  <si>
    <t xml:space="preserve">RTA Yarwun Pty Ltd
</t>
  </si>
  <si>
    <t>This project takes place at a facility that reports under the National Greenhouse and Energy Reporting (NGER) Scheme. This project reduces emissions by installing new equipment. and This project improves energy (fuel) efficiency by changing the way existing energy-consuming equipment is controlled or operated.</t>
  </si>
  <si>
    <t>24/03/2022 and 10/09/2018</t>
  </si>
  <si>
    <t>CAC983960</t>
  </si>
  <si>
    <t>Yara Pilbara Fertiliser Plant</t>
  </si>
  <si>
    <t>Yara International ASA (OSL: YAR)</t>
  </si>
  <si>
    <t>Burrup Peninsular</t>
  </si>
  <si>
    <t>2050 at HV North; 2045 at HV South</t>
  </si>
  <si>
    <t>10 highest-polluting parent companies of Safeguard facilities - details</t>
  </si>
  <si>
    <t>10 highest-polluting parent companies of Safeguard facilities - chart data</t>
  </si>
  <si>
    <t>Emissions data (all figures are tCO2e (tonnes CO2 equivalent))</t>
  </si>
  <si>
    <t>Estimated emissions (if available) (average annual) (tCO2e)</t>
  </si>
  <si>
    <t>Baseline determination type</t>
  </si>
  <si>
    <t>Baseline (tCO2e)</t>
  </si>
  <si>
    <t>Average annual emissions to date</t>
  </si>
  <si>
    <t>&lt;--- enter facility name here (select cell, click down arrow that appears in bottom right corner of cell, then select from dropdown menu)</t>
  </si>
  <si>
    <t>total baseline (excluding withheld baselines)</t>
  </si>
  <si>
    <t>total reported emissions</t>
  </si>
  <si>
    <t>average baseline</t>
  </si>
  <si>
    <t>average reported emissions</t>
  </si>
  <si>
    <t>Is this a fossil fuel facility?</t>
  </si>
  <si>
    <t>facility age (as at 2022)</t>
  </si>
  <si>
    <t>See "Post collections - MRL". previous versions of the baseline table may have listed the relevant baseline there.</t>
  </si>
  <si>
    <t>Baralaba Coal, which was formerly known as Cockatoo Coal, liquidated in 2015 and Baralaba North mine was placed in care and maintenance in 2016. In 2018, production resumed.</t>
  </si>
  <si>
    <t>no RoM published on Mining Data since 2016 - may be closed</t>
  </si>
  <si>
    <t>The mine was was put on care and maintenance in 2018 and its mining lease expires in 2021. With the expiration of the mining lease in December 2021, the mine appears to have closed.</t>
  </si>
  <si>
    <t>operations were suspended between May 6 2020 and 21 February 2022 after an explosion that  seriously injured five men</t>
  </si>
  <si>
    <t>Closed (Care and Maintenance)</t>
  </si>
  <si>
    <t>The mine was closed in 2014, but since then a 1.6 million tonne expansion/reopening project has been planned.</t>
  </si>
  <si>
    <t>appears to be temporarily closed.</t>
  </si>
  <si>
    <t>The Wongawilli mine has cut coal for more than 100 years, but was put into care and maintenance in 2019 after ongoing safety concerns. In April 2022 won approval to restart mining</t>
  </si>
  <si>
    <t>The mine closed in May 2012. In July 2020, the mining lease for Norwich Park was absorbed into the lease for the adjacent Saraji Mine.</t>
  </si>
  <si>
    <t>CRYSTAL OCEAN FPSO</t>
  </si>
  <si>
    <t>Cloncurry</t>
  </si>
  <si>
    <t>Thomas Rail Yard - related</t>
  </si>
  <si>
    <t>Adjacent to Moomba Meter and Compressor Station</t>
  </si>
  <si>
    <t>&lt;--- enter exact activity name here (or select cell, click down arrow that appears in bottom right corner of cell, then select from dropdown menu)</t>
  </si>
  <si>
    <t>AUD$29.2 billion (US$20 billion) in revenue (not publicly listed - this data is from a media release)</t>
  </si>
  <si>
    <t>Total aggregate Safeguard reported emissions over FY 17-21 (tCO2e)</t>
  </si>
  <si>
    <t>sum of headroom</t>
  </si>
  <si>
    <t>sum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</si>
</sst>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44" formatCode="_-&quot;$&quot;* #,##0.00_-;\-&quot;$&quot;* #,##0.00_-;_-&quot;$&quot;* &quot;-&quot;??_-;_-@_-"/>
    <numFmt numFmtId="164" formatCode="mm/dd/yyyy"/>
    <numFmt numFmtId="165" formatCode="m/d/yyyy"/>
  </numFmts>
  <fonts count="31">
    <font>
      <sz val="11"/>
      <color theme="1"/>
      <name val="Calibri"/>
      <scheme val="minor"/>
    </font>
    <font>
      <sz val="11"/>
      <color theme="1"/>
      <name val="Calibri"/>
      <family val="2"/>
      <scheme val="minor"/>
    </font>
    <font>
      <sz val="11"/>
      <color theme="1"/>
      <name val="Calibri"/>
      <family val="2"/>
      <scheme val="minor"/>
    </font>
    <font>
      <sz val="11"/>
      <color theme="1"/>
      <name val="Calibri"/>
      <scheme val="minor"/>
    </font>
    <font>
      <u/>
      <sz val="11"/>
      <color rgb="FF0000FF"/>
      <name val="Calibri"/>
    </font>
    <font>
      <b/>
      <sz val="11"/>
      <color theme="1"/>
      <name val="Calibri"/>
      <scheme val="minor"/>
    </font>
    <font>
      <b/>
      <sz val="11"/>
      <color theme="1"/>
      <name val="Calibri"/>
    </font>
    <font>
      <sz val="11"/>
      <color rgb="FFFFFFFF"/>
      <name val="Calibri"/>
      <scheme val="minor"/>
    </font>
    <font>
      <sz val="11"/>
      <color theme="1"/>
      <name val="Calibri"/>
    </font>
    <font>
      <b/>
      <sz val="11"/>
      <color rgb="FFFFFFFF"/>
      <name val="Calibri"/>
      <scheme val="minor"/>
    </font>
    <font>
      <sz val="11"/>
      <color rgb="FF000000"/>
      <name val="Calibri"/>
    </font>
    <font>
      <sz val="11"/>
      <color theme="0"/>
      <name val="Calibri"/>
      <scheme val="minor"/>
    </font>
    <font>
      <sz val="11"/>
      <color rgb="FF666666"/>
      <name val="Calibri"/>
    </font>
    <font>
      <sz val="11"/>
      <name val="Calibri"/>
    </font>
    <font>
      <sz val="11"/>
      <color rgb="FF999999"/>
      <name val="Calibri"/>
    </font>
    <font>
      <sz val="11"/>
      <color rgb="FF000000"/>
      <name val="Calibri"/>
      <scheme val="minor"/>
    </font>
    <font>
      <b/>
      <sz val="18"/>
      <color theme="1"/>
      <name val="Calibri"/>
    </font>
    <font>
      <b/>
      <sz val="11"/>
      <color theme="0"/>
      <name val="Calibri"/>
    </font>
    <font>
      <sz val="11"/>
      <color theme="0"/>
      <name val="Calibri"/>
    </font>
    <font>
      <b/>
      <sz val="11"/>
      <color rgb="FFFFFFFF"/>
      <name val="Calibri"/>
    </font>
    <font>
      <b/>
      <sz val="11"/>
      <color rgb="FF414042"/>
      <name val="Calibri"/>
    </font>
    <font>
      <u/>
      <sz val="11"/>
      <color rgb="FF0000FF"/>
      <name val="Calibri"/>
    </font>
    <font>
      <b/>
      <sz val="11"/>
      <color theme="1"/>
      <name val="Calibri"/>
      <family val="2"/>
      <scheme val="minor"/>
    </font>
    <font>
      <sz val="11"/>
      <color theme="1"/>
      <name val="Calibri"/>
      <family val="2"/>
    </font>
    <font>
      <b/>
      <sz val="18"/>
      <color theme="1"/>
      <name val="Calibri"/>
      <family val="2"/>
    </font>
    <font>
      <b/>
      <sz val="11"/>
      <color theme="1"/>
      <name val="Calibri"/>
      <family val="2"/>
    </font>
    <font>
      <b/>
      <sz val="11"/>
      <name val="Calibri"/>
      <family val="2"/>
    </font>
    <font>
      <sz val="11"/>
      <name val="Calibri"/>
      <family val="2"/>
    </font>
    <font>
      <b/>
      <sz val="11"/>
      <color rgb="FF414042"/>
      <name val="Calibri"/>
      <family val="2"/>
    </font>
    <font>
      <sz val="9"/>
      <color indexed="81"/>
      <name val="Tahoma"/>
      <charset val="1"/>
    </font>
    <font>
      <b/>
      <sz val="9"/>
      <color indexed="81"/>
      <name val="Tahoma"/>
      <charset val="1"/>
    </font>
  </fonts>
  <fills count="16">
    <fill>
      <patternFill patternType="none"/>
    </fill>
    <fill>
      <patternFill patternType="gray125"/>
    </fill>
    <fill>
      <patternFill patternType="solid">
        <fgColor rgb="FF007966"/>
        <bgColor rgb="FF007966"/>
      </patternFill>
    </fill>
    <fill>
      <patternFill patternType="solid">
        <fgColor rgb="FF00B398"/>
        <bgColor rgb="FF00B398"/>
      </patternFill>
    </fill>
    <fill>
      <patternFill patternType="solid">
        <fgColor rgb="FF37AD68"/>
        <bgColor rgb="FF37AD68"/>
      </patternFill>
    </fill>
    <fill>
      <patternFill patternType="solid">
        <fgColor rgb="FF85D8C8"/>
        <bgColor rgb="FF85D8C8"/>
      </patternFill>
    </fill>
    <fill>
      <patternFill patternType="solid">
        <fgColor rgb="FFFFFFFF"/>
        <bgColor rgb="FFFFFFFF"/>
      </patternFill>
    </fill>
    <fill>
      <patternFill patternType="solid">
        <fgColor rgb="FFB7B7B7"/>
        <bgColor rgb="FFB7B7B7"/>
      </patternFill>
    </fill>
    <fill>
      <patternFill patternType="solid">
        <fgColor rgb="FF414042"/>
        <bgColor rgb="FF414042"/>
      </patternFill>
    </fill>
    <fill>
      <patternFill patternType="solid">
        <fgColor rgb="FF79B88D"/>
        <bgColor rgb="FF79B88D"/>
      </patternFill>
    </fill>
    <fill>
      <patternFill patternType="solid">
        <fgColor rgb="FFC6E097"/>
        <bgColor rgb="FFC6E097"/>
      </patternFill>
    </fill>
    <fill>
      <patternFill patternType="solid">
        <fgColor rgb="FFFFFF00"/>
        <bgColor rgb="FFFFFF00"/>
      </patternFill>
    </fill>
    <fill>
      <patternFill patternType="solid">
        <fgColor theme="0"/>
        <bgColor theme="0"/>
      </patternFill>
    </fill>
    <fill>
      <patternFill patternType="solid">
        <fgColor rgb="FFF2F2F2"/>
        <bgColor rgb="FFF2F2F2"/>
      </patternFill>
    </fill>
    <fill>
      <patternFill patternType="solid">
        <fgColor theme="0" tint="-4.9989318521683403E-2"/>
        <bgColor indexed="64"/>
      </patternFill>
    </fill>
    <fill>
      <patternFill patternType="solid">
        <fgColor theme="2" tint="-4.9989318521683403E-2"/>
        <bgColor indexed="64"/>
      </patternFill>
    </fill>
  </fills>
  <borders count="43">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ck">
        <color rgb="FF000000"/>
      </left>
      <right style="thick">
        <color rgb="FF000000"/>
      </right>
      <top style="thick">
        <color rgb="FF000000"/>
      </top>
      <bottom/>
      <diagonal/>
    </border>
    <border>
      <left/>
      <right style="thin">
        <color rgb="FF000000"/>
      </right>
      <top style="thin">
        <color rgb="FF000000"/>
      </top>
      <bottom/>
      <diagonal/>
    </border>
    <border>
      <left style="thin">
        <color rgb="FF000000"/>
      </left>
      <right style="thin">
        <color rgb="FF000000"/>
      </right>
      <top/>
      <bottom/>
      <diagonal/>
    </border>
    <border>
      <left style="thin">
        <color rgb="FF000000"/>
      </left>
      <right/>
      <top/>
      <bottom/>
      <diagonal/>
    </border>
    <border>
      <left style="thick">
        <color rgb="FF000000"/>
      </left>
      <right style="thick">
        <color rgb="FF000000"/>
      </right>
      <top/>
      <bottom/>
      <diagonal/>
    </border>
    <border>
      <left/>
      <right style="thin">
        <color rgb="FF000000"/>
      </right>
      <top/>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ck">
        <color rgb="FF000000"/>
      </left>
      <right style="thick">
        <color rgb="FF000000"/>
      </right>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top style="thick">
        <color rgb="FF000000"/>
      </top>
      <bottom style="thick">
        <color rgb="FF000000"/>
      </bottom>
      <diagonal/>
    </border>
    <border>
      <left/>
      <right style="thick">
        <color rgb="FF000000"/>
      </right>
      <top style="thick">
        <color rgb="FF000000"/>
      </top>
      <bottom style="thick">
        <color rgb="FF000000"/>
      </bottom>
      <diagonal/>
    </border>
    <border>
      <left/>
      <right/>
      <top style="thick">
        <color rgb="FF000000"/>
      </top>
      <bottom style="thick">
        <color rgb="FF000000"/>
      </bottom>
      <diagonal/>
    </border>
    <border>
      <left style="thick">
        <color rgb="FF000000"/>
      </left>
      <right/>
      <top/>
      <bottom/>
      <diagonal/>
    </border>
    <border>
      <left/>
      <right style="thick">
        <color rgb="FF000000"/>
      </right>
      <top/>
      <bottom/>
      <diagonal/>
    </border>
    <border>
      <left style="thick">
        <color rgb="FF000000"/>
      </left>
      <right/>
      <top style="thick">
        <color rgb="FF000000"/>
      </top>
      <bottom/>
      <diagonal/>
    </border>
    <border>
      <left/>
      <right/>
      <top style="thick">
        <color rgb="FF000000"/>
      </top>
      <bottom/>
      <diagonal/>
    </border>
    <border>
      <left/>
      <right style="thick">
        <color rgb="FF000000"/>
      </right>
      <top style="thick">
        <color rgb="FF000000"/>
      </top>
      <bottom/>
      <diagonal/>
    </border>
    <border>
      <left style="thick">
        <color rgb="FF000000"/>
      </left>
      <right/>
      <top/>
      <bottom style="thick">
        <color rgb="FF000000"/>
      </bottom>
      <diagonal/>
    </border>
    <border>
      <left/>
      <right/>
      <top/>
      <bottom style="thick">
        <color rgb="FF000000"/>
      </bottom>
      <diagonal/>
    </border>
    <border>
      <left/>
      <right style="thick">
        <color rgb="FF000000"/>
      </right>
      <top/>
      <bottom style="thick">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rgb="FF000000"/>
      </left>
      <right style="thick">
        <color rgb="FF000000"/>
      </right>
      <top/>
      <bottom style="medium">
        <color indexed="64"/>
      </bottom>
      <diagonal/>
    </border>
    <border>
      <left style="thick">
        <color rgb="FF000000"/>
      </left>
      <right/>
      <top/>
      <bottom style="medium">
        <color indexed="64"/>
      </bottom>
      <diagonal/>
    </border>
    <border>
      <left/>
      <right style="thick">
        <color rgb="FF000000"/>
      </right>
      <top/>
      <bottom style="medium">
        <color indexed="64"/>
      </bottom>
      <diagonal/>
    </border>
  </borders>
  <cellStyleXfs count="3">
    <xf numFmtId="0" fontId="0" fillId="0" borderId="0"/>
    <xf numFmtId="9" fontId="3" fillId="0" borderId="0" applyFont="0" applyFill="0" applyBorder="0" applyAlignment="0" applyProtection="0"/>
    <xf numFmtId="44" fontId="3" fillId="0" borderId="0" applyFont="0" applyFill="0" applyBorder="0" applyAlignment="0" applyProtection="0"/>
  </cellStyleXfs>
  <cellXfs count="266">
    <xf numFmtId="0" fontId="0" fillId="0" borderId="0" xfId="0" applyFont="1" applyAlignment="1"/>
    <xf numFmtId="0" fontId="3" fillId="0" borderId="0" xfId="0" applyFont="1" applyAlignment="1"/>
    <xf numFmtId="0" fontId="4" fillId="0" borderId="0" xfId="0" applyFont="1" applyAlignment="1"/>
    <xf numFmtId="0" fontId="5" fillId="0" borderId="1" xfId="0" applyFont="1" applyBorder="1" applyAlignment="1"/>
    <xf numFmtId="0" fontId="5" fillId="0" borderId="2" xfId="0" applyFont="1" applyBorder="1" applyAlignment="1"/>
    <xf numFmtId="0" fontId="5" fillId="0" borderId="3" xfId="0" applyFont="1" applyBorder="1" applyAlignment="1"/>
    <xf numFmtId="0" fontId="5" fillId="0" borderId="4" xfId="0" applyFont="1" applyBorder="1" applyAlignment="1"/>
    <xf numFmtId="0" fontId="6" fillId="0" borderId="1" xfId="0" applyFont="1" applyBorder="1" applyAlignment="1"/>
    <xf numFmtId="0" fontId="5" fillId="0" borderId="0" xfId="0" applyFont="1" applyAlignment="1"/>
    <xf numFmtId="0" fontId="3" fillId="0" borderId="5" xfId="0" applyFont="1" applyBorder="1" applyAlignment="1"/>
    <xf numFmtId="0" fontId="3" fillId="0" borderId="6" xfId="0" applyFont="1" applyBorder="1" applyAlignment="1"/>
    <xf numFmtId="0" fontId="7" fillId="2" borderId="7" xfId="0" applyFont="1" applyFill="1" applyBorder="1" applyAlignment="1"/>
    <xf numFmtId="0" fontId="3" fillId="0" borderId="8" xfId="0" applyFont="1" applyBorder="1" applyAlignment="1"/>
    <xf numFmtId="0" fontId="8" fillId="0" borderId="5" xfId="0" applyFont="1" applyBorder="1" applyAlignment="1"/>
    <xf numFmtId="0" fontId="8" fillId="0" borderId="0" xfId="0" applyFont="1" applyAlignment="1"/>
    <xf numFmtId="0" fontId="8" fillId="0" borderId="0" xfId="0" applyFont="1" applyAlignment="1"/>
    <xf numFmtId="0" fontId="3" fillId="0" borderId="6" xfId="0" applyFont="1" applyBorder="1" applyAlignment="1"/>
    <xf numFmtId="0" fontId="9" fillId="2" borderId="7" xfId="0" applyFont="1" applyFill="1" applyBorder="1" applyAlignment="1"/>
    <xf numFmtId="0" fontId="8" fillId="0" borderId="0" xfId="0" applyFont="1" applyAlignment="1"/>
    <xf numFmtId="0" fontId="8" fillId="0" borderId="5" xfId="0" applyFont="1" applyBorder="1" applyAlignment="1"/>
    <xf numFmtId="0" fontId="3" fillId="3" borderId="7" xfId="0" applyFont="1" applyFill="1" applyBorder="1" applyAlignment="1"/>
    <xf numFmtId="0" fontId="8" fillId="0" borderId="9" xfId="0" applyFont="1" applyBorder="1" applyAlignment="1"/>
    <xf numFmtId="0" fontId="8" fillId="0" borderId="0" xfId="0" applyFont="1" applyAlignment="1"/>
    <xf numFmtId="0" fontId="5" fillId="3" borderId="7" xfId="0" applyFont="1" applyFill="1" applyBorder="1" applyAlignment="1"/>
    <xf numFmtId="0" fontId="8" fillId="0" borderId="5" xfId="0" applyFont="1" applyBorder="1" applyAlignment="1"/>
    <xf numFmtId="0" fontId="3" fillId="4" borderId="7" xfId="0" applyFont="1" applyFill="1" applyBorder="1" applyAlignment="1"/>
    <xf numFmtId="0" fontId="8" fillId="0" borderId="9" xfId="0" applyFont="1" applyBorder="1" applyAlignment="1"/>
    <xf numFmtId="0" fontId="8" fillId="0" borderId="5" xfId="0" applyFont="1" applyBorder="1" applyAlignment="1"/>
    <xf numFmtId="0" fontId="5" fillId="4" borderId="7" xfId="0" applyFont="1" applyFill="1" applyBorder="1" applyAlignment="1"/>
    <xf numFmtId="0" fontId="3" fillId="5" borderId="7" xfId="0" applyFont="1" applyFill="1" applyBorder="1" applyAlignment="1"/>
    <xf numFmtId="0" fontId="5" fillId="5" borderId="7" xfId="0" applyFont="1" applyFill="1" applyBorder="1" applyAlignment="1"/>
    <xf numFmtId="0" fontId="3" fillId="0" borderId="10" xfId="0" applyFont="1" applyBorder="1" applyAlignment="1"/>
    <xf numFmtId="0" fontId="8" fillId="6" borderId="0" xfId="0" applyFont="1" applyFill="1"/>
    <xf numFmtId="0" fontId="8" fillId="0" borderId="9" xfId="0" applyFont="1" applyBorder="1" applyAlignment="1"/>
    <xf numFmtId="0" fontId="3" fillId="0" borderId="11" xfId="0" applyFont="1" applyBorder="1" applyAlignment="1"/>
    <xf numFmtId="0" fontId="3" fillId="7" borderId="7" xfId="0" applyFont="1" applyFill="1" applyBorder="1" applyAlignment="1"/>
    <xf numFmtId="0" fontId="5" fillId="7" borderId="7" xfId="0" applyFont="1" applyFill="1" applyBorder="1" applyAlignment="1"/>
    <xf numFmtId="0" fontId="7" fillId="8" borderId="7" xfId="0" applyFont="1" applyFill="1" applyBorder="1" applyAlignment="1"/>
    <xf numFmtId="0" fontId="9" fillId="8" borderId="7" xfId="0" applyFont="1" applyFill="1" applyBorder="1" applyAlignment="1"/>
    <xf numFmtId="0" fontId="3" fillId="9" borderId="7" xfId="0" applyFont="1" applyFill="1" applyBorder="1" applyAlignment="1"/>
    <xf numFmtId="0" fontId="5" fillId="9" borderId="7" xfId="0" applyFont="1" applyFill="1" applyBorder="1" applyAlignment="1"/>
    <xf numFmtId="0" fontId="10" fillId="0" borderId="5" xfId="0" applyFont="1" applyBorder="1" applyAlignment="1"/>
    <xf numFmtId="0" fontId="3" fillId="10" borderId="7" xfId="0" applyFont="1" applyFill="1" applyBorder="1" applyAlignment="1"/>
    <xf numFmtId="0" fontId="5" fillId="10" borderId="7" xfId="0" applyFont="1" applyFill="1" applyBorder="1" applyAlignment="1"/>
    <xf numFmtId="0" fontId="5" fillId="11" borderId="7" xfId="0" applyFont="1" applyFill="1" applyBorder="1" applyAlignment="1"/>
    <xf numFmtId="0" fontId="3" fillId="0" borderId="7" xfId="0" applyFont="1" applyBorder="1" applyAlignment="1"/>
    <xf numFmtId="0" fontId="3" fillId="0" borderId="12" xfId="0" applyFont="1" applyBorder="1" applyAlignment="1"/>
    <xf numFmtId="0" fontId="11" fillId="0" borderId="0" xfId="0" applyFont="1" applyAlignment="1"/>
    <xf numFmtId="0" fontId="7" fillId="0" borderId="0" xfId="0" applyFont="1" applyAlignment="1"/>
    <xf numFmtId="0" fontId="9" fillId="0" borderId="0" xfId="0" applyFont="1" applyAlignment="1"/>
    <xf numFmtId="0" fontId="8" fillId="0" borderId="0" xfId="0" applyFont="1"/>
    <xf numFmtId="0" fontId="5" fillId="0" borderId="0" xfId="0" applyFont="1" applyAlignment="1"/>
    <xf numFmtId="0" fontId="10" fillId="0" borderId="0" xfId="0" applyFont="1" applyAlignment="1"/>
    <xf numFmtId="0" fontId="9" fillId="0" borderId="0" xfId="0" applyFont="1" applyAlignment="1"/>
    <xf numFmtId="0" fontId="3" fillId="0" borderId="0" xfId="0" applyFont="1" applyAlignment="1"/>
    <xf numFmtId="0" fontId="8" fillId="6" borderId="0" xfId="0" applyFont="1" applyFill="1"/>
    <xf numFmtId="0" fontId="8" fillId="0" borderId="0" xfId="0" applyFont="1" applyAlignment="1"/>
    <xf numFmtId="0" fontId="8" fillId="0" borderId="0" xfId="0" applyFont="1" applyAlignment="1"/>
    <xf numFmtId="0" fontId="8" fillId="0" borderId="0" xfId="0" applyFont="1" applyAlignment="1"/>
    <xf numFmtId="0" fontId="8" fillId="0" borderId="0" xfId="0" applyFont="1" applyAlignment="1"/>
    <xf numFmtId="0" fontId="3" fillId="0" borderId="9" xfId="0" applyFont="1" applyBorder="1" applyAlignment="1"/>
    <xf numFmtId="3" fontId="3" fillId="0" borderId="0" xfId="0" applyNumberFormat="1" applyFont="1" applyAlignment="1"/>
    <xf numFmtId="0" fontId="15" fillId="6" borderId="14" xfId="0" applyFont="1" applyFill="1" applyBorder="1" applyAlignment="1">
      <alignment wrapText="1"/>
    </xf>
    <xf numFmtId="3" fontId="3" fillId="0" borderId="15" xfId="0" applyNumberFormat="1" applyFont="1" applyBorder="1" applyAlignment="1">
      <alignment wrapText="1"/>
    </xf>
    <xf numFmtId="0" fontId="3" fillId="0" borderId="0" xfId="0" applyFont="1" applyAlignment="1">
      <alignment wrapText="1"/>
    </xf>
    <xf numFmtId="3" fontId="3" fillId="0" borderId="0" xfId="0" applyNumberFormat="1" applyFont="1" applyAlignment="1">
      <alignment wrapText="1"/>
    </xf>
    <xf numFmtId="0" fontId="3" fillId="0" borderId="0" xfId="0" applyFont="1" applyAlignment="1">
      <alignment wrapText="1"/>
    </xf>
    <xf numFmtId="3" fontId="3" fillId="0" borderId="0" xfId="0" applyNumberFormat="1" applyFont="1"/>
    <xf numFmtId="3" fontId="3" fillId="0" borderId="0" xfId="0" applyNumberFormat="1" applyFont="1" applyAlignment="1">
      <alignment wrapText="1"/>
    </xf>
    <xf numFmtId="0" fontId="3" fillId="0" borderId="17" xfId="0" applyFont="1" applyBorder="1" applyAlignment="1">
      <alignment wrapText="1"/>
    </xf>
    <xf numFmtId="0" fontId="3" fillId="0" borderId="18" xfId="0" applyFont="1" applyBorder="1" applyAlignment="1">
      <alignment wrapText="1"/>
    </xf>
    <xf numFmtId="0" fontId="3" fillId="0" borderId="17" xfId="0" applyFont="1" applyBorder="1"/>
    <xf numFmtId="0" fontId="15" fillId="6" borderId="18" xfId="0" applyFont="1" applyFill="1" applyBorder="1"/>
    <xf numFmtId="0" fontId="3" fillId="0" borderId="17" xfId="0" applyFont="1" applyBorder="1" applyAlignment="1"/>
    <xf numFmtId="0" fontId="3" fillId="0" borderId="18" xfId="0" applyFont="1" applyBorder="1"/>
    <xf numFmtId="0" fontId="3" fillId="0" borderId="22" xfId="0" applyFont="1" applyBorder="1" applyAlignment="1">
      <alignment wrapText="1"/>
    </xf>
    <xf numFmtId="10" fontId="3" fillId="0" borderId="23" xfId="0" applyNumberFormat="1" applyFont="1" applyBorder="1"/>
    <xf numFmtId="0" fontId="3" fillId="0" borderId="24" xfId="0" applyFont="1" applyBorder="1"/>
    <xf numFmtId="0" fontId="3" fillId="0" borderId="0" xfId="0" applyFont="1" applyAlignment="1">
      <alignment horizontal="center"/>
    </xf>
    <xf numFmtId="3" fontId="3" fillId="0" borderId="18" xfId="0" applyNumberFormat="1" applyFont="1" applyBorder="1" applyAlignment="1">
      <alignment wrapText="1"/>
    </xf>
    <xf numFmtId="3" fontId="3" fillId="0" borderId="18" xfId="0" applyNumberFormat="1" applyFont="1" applyBorder="1" applyAlignment="1"/>
    <xf numFmtId="3" fontId="3" fillId="0" borderId="18" xfId="0" applyNumberFormat="1" applyFont="1" applyBorder="1"/>
    <xf numFmtId="0" fontId="3" fillId="0" borderId="23" xfId="0" applyFont="1" applyBorder="1"/>
    <xf numFmtId="0" fontId="3" fillId="0" borderId="23" xfId="0" applyFont="1" applyBorder="1" applyAlignment="1">
      <alignment wrapText="1"/>
    </xf>
    <xf numFmtId="3" fontId="3" fillId="0" borderId="24" xfId="0" applyNumberFormat="1" applyFont="1" applyBorder="1"/>
    <xf numFmtId="0" fontId="5" fillId="0" borderId="0" xfId="0" applyFont="1" applyAlignment="1">
      <alignment wrapText="1"/>
    </xf>
    <xf numFmtId="0" fontId="5" fillId="0" borderId="0" xfId="0" applyFont="1" applyAlignment="1">
      <alignment wrapText="1"/>
    </xf>
    <xf numFmtId="0" fontId="3" fillId="0" borderId="0" xfId="0" applyFont="1"/>
    <xf numFmtId="0" fontId="3" fillId="0" borderId="25" xfId="0" applyFont="1" applyBorder="1" applyAlignment="1"/>
    <xf numFmtId="0" fontId="3" fillId="0" borderId="26" xfId="0" applyFont="1" applyBorder="1" applyAlignment="1"/>
    <xf numFmtId="0" fontId="3" fillId="12" borderId="0" xfId="0" applyFont="1" applyFill="1" applyAlignment="1"/>
    <xf numFmtId="10" fontId="3" fillId="0" borderId="0" xfId="0" applyNumberFormat="1" applyFont="1" applyAlignment="1"/>
    <xf numFmtId="0" fontId="5" fillId="0" borderId="0" xfId="0" applyFont="1"/>
    <xf numFmtId="10" fontId="0" fillId="0" borderId="0" xfId="0" applyNumberFormat="1" applyFont="1"/>
    <xf numFmtId="10" fontId="0" fillId="0" borderId="0" xfId="0" applyNumberFormat="1" applyFont="1" applyAlignment="1"/>
    <xf numFmtId="0" fontId="0" fillId="0" borderId="0" xfId="0" applyFont="1"/>
    <xf numFmtId="0" fontId="16" fillId="9" borderId="0" xfId="0" applyFont="1" applyFill="1" applyAlignment="1">
      <alignment horizontal="center" vertical="center" wrapText="1"/>
    </xf>
    <xf numFmtId="0" fontId="8" fillId="13" borderId="0" xfId="0" applyFont="1" applyFill="1" applyAlignment="1">
      <alignment wrapText="1"/>
    </xf>
    <xf numFmtId="0" fontId="6" fillId="0" borderId="27" xfId="0" applyFont="1" applyBorder="1" applyAlignment="1">
      <alignment wrapText="1"/>
    </xf>
    <xf numFmtId="3" fontId="8" fillId="0" borderId="27" xfId="0" applyNumberFormat="1" applyFont="1" applyBorder="1" applyAlignment="1">
      <alignment wrapText="1"/>
    </xf>
    <xf numFmtId="3" fontId="10" fillId="6" borderId="27" xfId="0" applyNumberFormat="1" applyFont="1" applyFill="1" applyBorder="1" applyAlignment="1">
      <alignment wrapText="1"/>
    </xf>
    <xf numFmtId="3" fontId="10" fillId="6" borderId="27" xfId="0" applyNumberFormat="1" applyFont="1" applyFill="1" applyBorder="1" applyAlignment="1">
      <alignment wrapText="1"/>
    </xf>
    <xf numFmtId="3" fontId="10" fillId="6" borderId="27" xfId="0" applyNumberFormat="1" applyFont="1" applyFill="1" applyBorder="1"/>
    <xf numFmtId="0" fontId="17" fillId="2" borderId="27" xfId="0" applyFont="1" applyFill="1" applyBorder="1" applyAlignment="1">
      <alignment wrapText="1"/>
    </xf>
    <xf numFmtId="0" fontId="6" fillId="13" borderId="0" xfId="0" applyFont="1" applyFill="1" applyAlignment="1">
      <alignment wrapText="1"/>
    </xf>
    <xf numFmtId="3" fontId="6" fillId="13" borderId="0" xfId="0" applyNumberFormat="1" applyFont="1" applyFill="1" applyAlignment="1">
      <alignment wrapText="1"/>
    </xf>
    <xf numFmtId="0" fontId="6" fillId="0" borderId="27" xfId="0" applyFont="1" applyBorder="1" applyAlignment="1">
      <alignment wrapText="1"/>
    </xf>
    <xf numFmtId="0" fontId="6" fillId="0" borderId="1" xfId="0" applyFont="1" applyBorder="1" applyAlignment="1">
      <alignment wrapText="1"/>
    </xf>
    <xf numFmtId="0" fontId="8" fillId="13" borderId="0" xfId="0" applyFont="1" applyFill="1" applyAlignment="1">
      <alignment wrapText="1"/>
    </xf>
    <xf numFmtId="0" fontId="10" fillId="13" borderId="0" xfId="0" applyFont="1" applyFill="1" applyAlignment="1">
      <alignment horizontal="left"/>
    </xf>
    <xf numFmtId="3" fontId="10" fillId="6" borderId="0" xfId="0" applyNumberFormat="1" applyFont="1" applyFill="1"/>
    <xf numFmtId="0" fontId="19" fillId="2" borderId="27" xfId="0" applyFont="1" applyFill="1" applyBorder="1" applyAlignment="1">
      <alignment wrapText="1"/>
    </xf>
    <xf numFmtId="0" fontId="3" fillId="0" borderId="0" xfId="0" applyFont="1" applyAlignment="1">
      <alignment wrapText="1"/>
    </xf>
    <xf numFmtId="0" fontId="3" fillId="0" borderId="0" xfId="0" applyFont="1" applyBorder="1" applyAlignment="1">
      <alignment wrapText="1"/>
    </xf>
    <xf numFmtId="10" fontId="3" fillId="0" borderId="0" xfId="0" applyNumberFormat="1" applyFont="1" applyBorder="1"/>
    <xf numFmtId="0" fontId="3" fillId="0" borderId="0" xfId="0" applyFont="1" applyBorder="1"/>
    <xf numFmtId="0" fontId="2" fillId="0" borderId="29" xfId="0" applyFont="1" applyBorder="1" applyAlignment="1">
      <alignment wrapText="1"/>
    </xf>
    <xf numFmtId="0" fontId="2" fillId="0" borderId="30" xfId="0" applyFont="1" applyBorder="1" applyAlignment="1">
      <alignment wrapText="1"/>
    </xf>
    <xf numFmtId="3" fontId="2" fillId="0" borderId="29" xfId="0" applyNumberFormat="1" applyFont="1" applyBorder="1" applyAlignment="1"/>
    <xf numFmtId="3" fontId="2" fillId="0" borderId="30" xfId="0" applyNumberFormat="1" applyFont="1" applyBorder="1" applyAlignment="1"/>
    <xf numFmtId="0" fontId="2" fillId="0" borderId="35" xfId="0" applyFont="1" applyBorder="1" applyAlignment="1"/>
    <xf numFmtId="0" fontId="22" fillId="0" borderId="0" xfId="0" applyFont="1" applyAlignment="1">
      <alignment horizontal="left"/>
    </xf>
    <xf numFmtId="0" fontId="24" fillId="9" borderId="0" xfId="0" applyFont="1" applyFill="1" applyAlignment="1">
      <alignment horizontal="center" vertical="center" wrapText="1"/>
    </xf>
    <xf numFmtId="0" fontId="0" fillId="14" borderId="0" xfId="0" applyFont="1" applyFill="1" applyAlignment="1"/>
    <xf numFmtId="0" fontId="25" fillId="0" borderId="27" xfId="0" applyFont="1" applyBorder="1" applyAlignment="1">
      <alignment wrapText="1"/>
    </xf>
    <xf numFmtId="0" fontId="0" fillId="0" borderId="0" xfId="0" applyFont="1" applyFill="1" applyAlignment="1"/>
    <xf numFmtId="0" fontId="12" fillId="0" borderId="0" xfId="0" applyFont="1" applyFill="1" applyAlignment="1">
      <alignment horizontal="center" vertical="center"/>
    </xf>
    <xf numFmtId="0" fontId="12" fillId="0" borderId="0" xfId="0" applyFont="1" applyFill="1" applyAlignment="1">
      <alignment horizontal="left" vertical="center"/>
    </xf>
    <xf numFmtId="0" fontId="20" fillId="0" borderId="13" xfId="0" applyFont="1" applyFill="1" applyBorder="1" applyAlignment="1">
      <alignment horizontal="center" vertical="center"/>
    </xf>
    <xf numFmtId="0" fontId="20" fillId="0" borderId="0" xfId="0" applyFont="1" applyFill="1" applyAlignment="1">
      <alignment wrapText="1"/>
    </xf>
    <xf numFmtId="0" fontId="20" fillId="0" borderId="3" xfId="0" applyFont="1" applyFill="1" applyBorder="1" applyAlignment="1">
      <alignment wrapText="1"/>
    </xf>
    <xf numFmtId="0" fontId="20" fillId="0" borderId="17" xfId="0" applyFont="1" applyFill="1" applyBorder="1" applyAlignment="1">
      <alignment horizontal="left" wrapText="1"/>
    </xf>
    <xf numFmtId="0" fontId="20" fillId="0" borderId="19" xfId="0" applyFont="1" applyFill="1" applyBorder="1" applyAlignment="1">
      <alignment wrapText="1"/>
    </xf>
    <xf numFmtId="0" fontId="20" fillId="0" borderId="20" xfId="0" applyFont="1" applyFill="1" applyBorder="1" applyAlignment="1">
      <alignment wrapText="1"/>
    </xf>
    <xf numFmtId="3" fontId="20" fillId="0" borderId="20" xfId="0" applyNumberFormat="1" applyFont="1" applyFill="1" applyBorder="1" applyAlignment="1">
      <alignment wrapText="1"/>
    </xf>
    <xf numFmtId="0" fontId="20" fillId="0" borderId="21" xfId="0" applyFont="1" applyFill="1" applyBorder="1" applyAlignment="1">
      <alignment wrapText="1"/>
    </xf>
    <xf numFmtId="49" fontId="20" fillId="0" borderId="17" xfId="0" applyNumberFormat="1" applyFont="1" applyFill="1" applyBorder="1" applyAlignment="1">
      <alignment horizontal="right" wrapText="1"/>
    </xf>
    <xf numFmtId="49" fontId="20" fillId="0" borderId="0" xfId="0" applyNumberFormat="1" applyFont="1" applyFill="1" applyAlignment="1">
      <alignment horizontal="right" wrapText="1"/>
    </xf>
    <xf numFmtId="49" fontId="20" fillId="0" borderId="18" xfId="0" applyNumberFormat="1" applyFont="1" applyFill="1" applyBorder="1" applyAlignment="1">
      <alignment horizontal="right" wrapText="1"/>
    </xf>
    <xf numFmtId="49" fontId="20" fillId="0" borderId="0" xfId="0" applyNumberFormat="1" applyFont="1" applyFill="1" applyAlignment="1">
      <alignment horizontal="center" wrapText="1"/>
    </xf>
    <xf numFmtId="0" fontId="20" fillId="0" borderId="18" xfId="0" applyFont="1" applyFill="1" applyBorder="1" applyAlignment="1">
      <alignment wrapText="1"/>
    </xf>
    <xf numFmtId="49" fontId="20" fillId="0" borderId="17" xfId="0" applyNumberFormat="1" applyFont="1" applyFill="1" applyBorder="1" applyAlignment="1">
      <alignment wrapText="1"/>
    </xf>
    <xf numFmtId="3" fontId="20" fillId="0" borderId="18" xfId="0" applyNumberFormat="1" applyFont="1" applyFill="1" applyBorder="1" applyAlignment="1">
      <alignment horizontal="right" wrapText="1"/>
    </xf>
    <xf numFmtId="0" fontId="8" fillId="0" borderId="0" xfId="0" applyFont="1" applyFill="1" applyAlignment="1"/>
    <xf numFmtId="0" fontId="8" fillId="0" borderId="7" xfId="0" applyFont="1" applyFill="1" applyBorder="1" applyAlignment="1"/>
    <xf numFmtId="0" fontId="8" fillId="0" borderId="17" xfId="0" applyFont="1" applyFill="1" applyBorder="1" applyAlignment="1">
      <alignment horizontal="left"/>
    </xf>
    <xf numFmtId="0" fontId="10" fillId="0" borderId="0" xfId="0" applyFont="1" applyFill="1" applyAlignment="1"/>
    <xf numFmtId="0" fontId="8" fillId="0" borderId="17" xfId="0" applyFont="1" applyFill="1" applyBorder="1" applyAlignment="1"/>
    <xf numFmtId="3" fontId="10" fillId="0" borderId="0" xfId="0" applyNumberFormat="1" applyFont="1" applyFill="1" applyAlignment="1"/>
    <xf numFmtId="0" fontId="10" fillId="0" borderId="18" xfId="0" applyFont="1" applyFill="1" applyBorder="1" applyAlignment="1"/>
    <xf numFmtId="0" fontId="14" fillId="0" borderId="17" xfId="0" applyFont="1" applyFill="1" applyBorder="1" applyAlignment="1"/>
    <xf numFmtId="0" fontId="14" fillId="0" borderId="0" xfId="0" applyFont="1" applyFill="1" applyAlignment="1"/>
    <xf numFmtId="3" fontId="8" fillId="0" borderId="17" xfId="0" applyNumberFormat="1" applyFont="1" applyFill="1" applyBorder="1" applyAlignment="1"/>
    <xf numFmtId="3" fontId="8" fillId="0" borderId="0" xfId="0" applyNumberFormat="1" applyFont="1" applyFill="1" applyAlignment="1"/>
    <xf numFmtId="3" fontId="8" fillId="0" borderId="18" xfId="0" applyNumberFormat="1" applyFont="1" applyFill="1" applyBorder="1" applyAlignment="1"/>
    <xf numFmtId="0" fontId="8" fillId="0" borderId="18" xfId="0" applyFont="1" applyFill="1" applyBorder="1" applyAlignment="1"/>
    <xf numFmtId="3" fontId="10" fillId="0" borderId="17" xfId="0" applyNumberFormat="1" applyFont="1" applyFill="1" applyBorder="1" applyAlignment="1"/>
    <xf numFmtId="3" fontId="8" fillId="0" borderId="0" xfId="0" applyNumberFormat="1" applyFont="1" applyFill="1" applyAlignment="1">
      <alignment horizontal="right"/>
    </xf>
    <xf numFmtId="3" fontId="10" fillId="0" borderId="17" xfId="0" applyNumberFormat="1" applyFont="1" applyFill="1" applyBorder="1" applyAlignment="1">
      <alignment horizontal="right"/>
    </xf>
    <xf numFmtId="0" fontId="10" fillId="0" borderId="7" xfId="0" applyFont="1" applyFill="1" applyBorder="1" applyAlignment="1"/>
    <xf numFmtId="3" fontId="10" fillId="0" borderId="0" xfId="0" applyNumberFormat="1" applyFont="1" applyFill="1"/>
    <xf numFmtId="0" fontId="10" fillId="0" borderId="7" xfId="0" applyFont="1" applyFill="1" applyBorder="1" applyAlignment="1">
      <alignment horizontal="left"/>
    </xf>
    <xf numFmtId="165" fontId="8" fillId="0" borderId="0" xfId="0" applyNumberFormat="1" applyFont="1" applyFill="1" applyAlignment="1"/>
    <xf numFmtId="3" fontId="8" fillId="0" borderId="0" xfId="0" applyNumberFormat="1" applyFont="1" applyFill="1" applyAlignment="1">
      <alignment horizontal="left"/>
    </xf>
    <xf numFmtId="3" fontId="8" fillId="0" borderId="18" xfId="0" applyNumberFormat="1" applyFont="1" applyFill="1" applyBorder="1" applyAlignment="1">
      <alignment horizontal="left"/>
    </xf>
    <xf numFmtId="3" fontId="10" fillId="0" borderId="0" xfId="0" applyNumberFormat="1" applyFont="1" applyFill="1" applyAlignment="1">
      <alignment horizontal="right"/>
    </xf>
    <xf numFmtId="3" fontId="8" fillId="0" borderId="17" xfId="0" applyNumberFormat="1" applyFont="1" applyFill="1" applyBorder="1" applyAlignment="1">
      <alignment horizontal="right"/>
    </xf>
    <xf numFmtId="3" fontId="10" fillId="0" borderId="18" xfId="0" applyNumberFormat="1" applyFont="1" applyFill="1" applyBorder="1" applyAlignment="1">
      <alignment horizontal="right"/>
    </xf>
    <xf numFmtId="164" fontId="8" fillId="0" borderId="0" xfId="0" applyNumberFormat="1" applyFont="1" applyFill="1" applyAlignment="1"/>
    <xf numFmtId="3" fontId="10" fillId="0" borderId="18" xfId="0" applyNumberFormat="1" applyFont="1" applyFill="1" applyBorder="1" applyAlignment="1"/>
    <xf numFmtId="0" fontId="21" fillId="0" borderId="18" xfId="0" applyFont="1" applyFill="1" applyBorder="1" applyAlignment="1"/>
    <xf numFmtId="0" fontId="26" fillId="0" borderId="27" xfId="0" applyFont="1" applyFill="1" applyBorder="1" applyAlignment="1">
      <alignment wrapText="1"/>
    </xf>
    <xf numFmtId="0" fontId="28" fillId="0" borderId="17" xfId="0" applyFont="1" applyFill="1" applyBorder="1" applyAlignment="1">
      <alignment wrapText="1"/>
    </xf>
    <xf numFmtId="0" fontId="23" fillId="0" borderId="0" xfId="0" applyFont="1" applyFill="1" applyAlignment="1"/>
    <xf numFmtId="0" fontId="28" fillId="0" borderId="0" xfId="0" applyFont="1" applyFill="1" applyAlignment="1">
      <alignment wrapText="1"/>
    </xf>
    <xf numFmtId="0" fontId="0" fillId="0" borderId="0" xfId="0" applyFont="1" applyAlignment="1">
      <alignment wrapText="1"/>
    </xf>
    <xf numFmtId="9" fontId="5" fillId="0" borderId="0" xfId="1" applyFont="1" applyAlignment="1">
      <alignment wrapText="1"/>
    </xf>
    <xf numFmtId="0" fontId="5" fillId="0" borderId="34" xfId="0" applyFont="1" applyFill="1" applyBorder="1" applyAlignment="1"/>
    <xf numFmtId="0" fontId="3" fillId="0" borderId="29" xfId="0" applyFont="1" applyFill="1" applyBorder="1" applyAlignment="1"/>
    <xf numFmtId="3" fontId="3" fillId="0" borderId="0" xfId="0" applyNumberFormat="1" applyFont="1" applyFill="1" applyBorder="1"/>
    <xf numFmtId="3" fontId="3" fillId="0" borderId="0" xfId="0" applyNumberFormat="1" applyFont="1" applyFill="1" applyBorder="1" applyAlignment="1"/>
    <xf numFmtId="10" fontId="3" fillId="0" borderId="0" xfId="0" applyNumberFormat="1" applyFont="1" applyFill="1" applyBorder="1"/>
    <xf numFmtId="10" fontId="0" fillId="0" borderId="0" xfId="0" applyNumberFormat="1" applyFont="1" applyFill="1" applyBorder="1"/>
    <xf numFmtId="10" fontId="0" fillId="0" borderId="30" xfId="0" applyNumberFormat="1" applyFont="1" applyFill="1" applyBorder="1"/>
    <xf numFmtId="0" fontId="3" fillId="0" borderId="35" xfId="0" applyFont="1" applyFill="1" applyBorder="1" applyAlignment="1"/>
    <xf numFmtId="3" fontId="3" fillId="0" borderId="36" xfId="0" applyNumberFormat="1" applyFont="1" applyFill="1" applyBorder="1"/>
    <xf numFmtId="3" fontId="3" fillId="0" borderId="36" xfId="0" applyNumberFormat="1" applyFont="1" applyFill="1" applyBorder="1" applyAlignment="1"/>
    <xf numFmtId="10" fontId="3" fillId="0" borderId="36" xfId="0" applyNumberFormat="1" applyFont="1" applyFill="1" applyBorder="1" applyAlignment="1"/>
    <xf numFmtId="10" fontId="0" fillId="0" borderId="36" xfId="0" applyNumberFormat="1" applyFont="1" applyFill="1" applyBorder="1" applyAlignment="1"/>
    <xf numFmtId="10" fontId="0" fillId="0" borderId="36" xfId="0" applyNumberFormat="1" applyFont="1" applyFill="1" applyBorder="1"/>
    <xf numFmtId="10" fontId="0" fillId="0" borderId="33" xfId="0" applyNumberFormat="1" applyFont="1" applyFill="1" applyBorder="1"/>
    <xf numFmtId="3" fontId="3" fillId="0" borderId="29" xfId="0" applyNumberFormat="1" applyFont="1" applyFill="1" applyBorder="1"/>
    <xf numFmtId="3" fontId="3" fillId="0" borderId="30" xfId="0" applyNumberFormat="1" applyFont="1" applyFill="1" applyBorder="1"/>
    <xf numFmtId="3" fontId="3" fillId="0" borderId="35" xfId="0" applyNumberFormat="1" applyFont="1" applyFill="1" applyBorder="1"/>
    <xf numFmtId="3" fontId="3" fillId="0" borderId="33" xfId="0" applyNumberFormat="1" applyFont="1" applyFill="1" applyBorder="1"/>
    <xf numFmtId="0" fontId="5" fillId="0" borderId="31" xfId="0" applyFont="1" applyFill="1" applyBorder="1" applyAlignment="1"/>
    <xf numFmtId="0" fontId="5" fillId="0" borderId="37" xfId="0" applyFont="1" applyFill="1" applyBorder="1" applyAlignment="1"/>
    <xf numFmtId="0" fontId="5" fillId="0" borderId="38" xfId="0" applyFont="1" applyFill="1" applyBorder="1" applyAlignment="1"/>
    <xf numFmtId="0" fontId="5" fillId="0" borderId="39" xfId="0" applyFont="1" applyFill="1" applyBorder="1" applyAlignment="1"/>
    <xf numFmtId="0" fontId="23" fillId="0" borderId="18" xfId="0" applyFont="1" applyFill="1" applyBorder="1" applyAlignment="1"/>
    <xf numFmtId="0" fontId="8" fillId="0" borderId="36" xfId="0" applyFont="1" applyFill="1" applyBorder="1" applyAlignment="1"/>
    <xf numFmtId="0" fontId="8" fillId="0" borderId="40" xfId="0" applyFont="1" applyFill="1" applyBorder="1" applyAlignment="1"/>
    <xf numFmtId="0" fontId="8" fillId="0" borderId="41" xfId="0" applyFont="1" applyFill="1" applyBorder="1" applyAlignment="1">
      <alignment horizontal="left"/>
    </xf>
    <xf numFmtId="0" fontId="8" fillId="0" borderId="41" xfId="0" applyFont="1" applyFill="1" applyBorder="1" applyAlignment="1"/>
    <xf numFmtId="3" fontId="8" fillId="0" borderId="36" xfId="0" applyNumberFormat="1" applyFont="1" applyFill="1" applyBorder="1" applyAlignment="1"/>
    <xf numFmtId="0" fontId="8" fillId="0" borderId="42" xfId="0" applyFont="1" applyFill="1" applyBorder="1" applyAlignment="1"/>
    <xf numFmtId="0" fontId="14" fillId="0" borderId="41" xfId="0" applyFont="1" applyFill="1" applyBorder="1" applyAlignment="1"/>
    <xf numFmtId="0" fontId="14" fillId="0" borderId="36" xfId="0" applyFont="1" applyFill="1" applyBorder="1" applyAlignment="1"/>
    <xf numFmtId="3" fontId="8" fillId="0" borderId="41" xfId="0" applyNumberFormat="1" applyFont="1" applyFill="1" applyBorder="1" applyAlignment="1"/>
    <xf numFmtId="3" fontId="8" fillId="0" borderId="42" xfId="0" applyNumberFormat="1" applyFont="1" applyFill="1" applyBorder="1" applyAlignment="1"/>
    <xf numFmtId="3" fontId="8" fillId="0" borderId="36" xfId="0" applyNumberFormat="1" applyFont="1" applyFill="1" applyBorder="1" applyAlignment="1">
      <alignment horizontal="right"/>
    </xf>
    <xf numFmtId="3" fontId="10" fillId="0" borderId="41" xfId="0" applyNumberFormat="1" applyFont="1" applyFill="1" applyBorder="1" applyAlignment="1"/>
    <xf numFmtId="3" fontId="10" fillId="0" borderId="36" xfId="0" applyNumberFormat="1" applyFont="1" applyFill="1" applyBorder="1" applyAlignment="1"/>
    <xf numFmtId="0" fontId="0" fillId="0" borderId="36" xfId="0" applyFont="1" applyFill="1" applyBorder="1" applyAlignment="1"/>
    <xf numFmtId="0" fontId="0" fillId="15" borderId="0" xfId="0" applyFont="1" applyFill="1" applyAlignment="1"/>
    <xf numFmtId="0" fontId="0" fillId="0" borderId="0" xfId="0" applyFont="1" applyAlignment="1"/>
    <xf numFmtId="3" fontId="2" fillId="0" borderId="33" xfId="0" applyNumberFormat="1" applyFont="1" applyBorder="1" applyAlignment="1"/>
    <xf numFmtId="0" fontId="23" fillId="0" borderId="17" xfId="0" applyFont="1" applyFill="1" applyBorder="1" applyAlignment="1">
      <alignment horizontal="left"/>
    </xf>
    <xf numFmtId="10" fontId="3" fillId="0" borderId="0" xfId="1" applyNumberFormat="1" applyFont="1" applyAlignment="1"/>
    <xf numFmtId="3" fontId="3" fillId="0" borderId="0" xfId="2" applyNumberFormat="1" applyFont="1" applyAlignment="1"/>
    <xf numFmtId="0" fontId="3" fillId="0" borderId="17" xfId="0" applyFont="1" applyBorder="1" applyAlignment="1">
      <alignment vertical="center"/>
    </xf>
    <xf numFmtId="0" fontId="13" fillId="0" borderId="17" xfId="0" applyFont="1" applyBorder="1"/>
    <xf numFmtId="3" fontId="3" fillId="0" borderId="0" xfId="0" applyNumberFormat="1" applyFont="1" applyAlignment="1">
      <alignment vertical="center"/>
    </xf>
    <xf numFmtId="0" fontId="0" fillId="0" borderId="0" xfId="0" applyFont="1" applyAlignment="1"/>
    <xf numFmtId="0" fontId="3" fillId="0" borderId="0" xfId="0" applyFont="1" applyAlignment="1">
      <alignment vertical="center"/>
    </xf>
    <xf numFmtId="0" fontId="3" fillId="0" borderId="0" xfId="0" applyFont="1" applyAlignment="1">
      <alignment vertical="center" wrapText="1"/>
    </xf>
    <xf numFmtId="0" fontId="2" fillId="0" borderId="34" xfId="0" applyFont="1" applyBorder="1" applyAlignment="1">
      <alignment horizontal="center" wrapText="1"/>
    </xf>
    <xf numFmtId="0" fontId="2" fillId="0" borderId="32" xfId="0" applyFont="1" applyBorder="1" applyAlignment="1">
      <alignment horizontal="center" wrapText="1"/>
    </xf>
    <xf numFmtId="0" fontId="3" fillId="0" borderId="19" xfId="0" applyFont="1" applyBorder="1" applyAlignment="1">
      <alignment horizontal="center" wrapText="1"/>
    </xf>
    <xf numFmtId="0" fontId="13" fillId="0" borderId="20" xfId="0" applyFont="1" applyBorder="1"/>
    <xf numFmtId="0" fontId="13" fillId="0" borderId="21" xfId="0" applyFont="1" applyBorder="1"/>
    <xf numFmtId="0" fontId="3" fillId="0" borderId="19" xfId="0" applyFont="1" applyBorder="1" applyAlignment="1">
      <alignment horizontal="center"/>
    </xf>
    <xf numFmtId="3" fontId="5" fillId="0" borderId="37" xfId="0" applyNumberFormat="1" applyFont="1" applyFill="1" applyBorder="1" applyAlignment="1">
      <alignment horizontal="center"/>
    </xf>
    <xf numFmtId="0" fontId="0" fillId="0" borderId="38" xfId="0" applyFont="1" applyFill="1" applyBorder="1" applyAlignment="1"/>
    <xf numFmtId="0" fontId="0" fillId="0" borderId="39" xfId="0" applyFont="1" applyFill="1" applyBorder="1" applyAlignment="1"/>
    <xf numFmtId="0" fontId="5" fillId="0" borderId="37" xfId="0" applyFont="1" applyFill="1" applyBorder="1" applyAlignment="1">
      <alignment horizontal="center"/>
    </xf>
    <xf numFmtId="0" fontId="8" fillId="0" borderId="25" xfId="0" applyFont="1" applyBorder="1" applyAlignment="1">
      <alignment horizontal="left" wrapText="1"/>
    </xf>
    <xf numFmtId="0" fontId="13" fillId="0" borderId="26" xfId="0" applyFont="1" applyBorder="1"/>
    <xf numFmtId="0" fontId="8" fillId="0" borderId="28" xfId="0" applyFont="1" applyBorder="1" applyAlignment="1">
      <alignment horizontal="left" wrapText="1"/>
    </xf>
    <xf numFmtId="0" fontId="10" fillId="6" borderId="25" xfId="0" applyFont="1" applyFill="1" applyBorder="1" applyAlignment="1">
      <alignment horizontal="left"/>
    </xf>
    <xf numFmtId="0" fontId="10" fillId="6" borderId="25" xfId="0" applyFont="1" applyFill="1" applyBorder="1" applyAlignment="1">
      <alignment horizontal="left" wrapText="1"/>
    </xf>
    <xf numFmtId="0" fontId="8" fillId="0" borderId="25" xfId="0" applyFont="1" applyBorder="1" applyAlignment="1">
      <alignment horizontal="left"/>
    </xf>
    <xf numFmtId="0" fontId="25" fillId="0" borderId="0" xfId="0" applyFont="1" applyAlignment="1">
      <alignment horizontal="left" vertical="center" wrapText="1"/>
    </xf>
    <xf numFmtId="0" fontId="25" fillId="0" borderId="25" xfId="0" applyFont="1" applyBorder="1" applyAlignment="1">
      <alignment wrapText="1"/>
    </xf>
    <xf numFmtId="0" fontId="13" fillId="0" borderId="28" xfId="0" applyFont="1" applyBorder="1"/>
    <xf numFmtId="4" fontId="18" fillId="2" borderId="25" xfId="0" applyNumberFormat="1" applyFont="1" applyFill="1" applyBorder="1" applyAlignment="1">
      <alignment horizontal="right" wrapText="1"/>
    </xf>
    <xf numFmtId="0" fontId="8" fillId="13" borderId="0" xfId="0" applyFont="1" applyFill="1" applyAlignment="1">
      <alignment wrapText="1"/>
    </xf>
    <xf numFmtId="4" fontId="27" fillId="0" borderId="25" xfId="0" applyNumberFormat="1" applyFont="1" applyFill="1" applyBorder="1" applyAlignment="1">
      <alignment horizontal="right" wrapText="1"/>
    </xf>
    <xf numFmtId="0" fontId="27" fillId="0" borderId="26" xfId="0" applyFont="1" applyFill="1" applyBorder="1"/>
    <xf numFmtId="0" fontId="6" fillId="0" borderId="0" xfId="0" applyFont="1" applyAlignment="1">
      <alignment horizontal="left" vertical="center" wrapText="1"/>
    </xf>
    <xf numFmtId="0" fontId="6" fillId="0" borderId="25" xfId="0" applyFont="1" applyBorder="1" applyAlignment="1">
      <alignment wrapText="1"/>
    </xf>
    <xf numFmtId="4" fontId="8" fillId="0" borderId="25" xfId="0" applyNumberFormat="1" applyFont="1" applyBorder="1" applyAlignment="1">
      <alignment horizontal="right" wrapText="1"/>
    </xf>
    <xf numFmtId="3" fontId="20" fillId="0" borderId="14" xfId="0" applyNumberFormat="1" applyFont="1" applyFill="1" applyBorder="1" applyAlignment="1">
      <alignment horizontal="center" vertical="center"/>
    </xf>
    <xf numFmtId="0" fontId="13" fillId="0" borderId="16" xfId="0" applyFont="1" applyFill="1" applyBorder="1"/>
    <xf numFmtId="0" fontId="13" fillId="0" borderId="15" xfId="0" applyFont="1" applyFill="1" applyBorder="1"/>
    <xf numFmtId="3" fontId="20" fillId="0" borderId="16" xfId="0" applyNumberFormat="1" applyFont="1" applyFill="1" applyBorder="1" applyAlignment="1">
      <alignment horizontal="left" vertical="center"/>
    </xf>
    <xf numFmtId="0" fontId="20" fillId="0" borderId="14" xfId="0" applyFont="1" applyFill="1" applyBorder="1" applyAlignment="1">
      <alignment vertical="center"/>
    </xf>
    <xf numFmtId="0" fontId="20" fillId="0" borderId="14" xfId="0" applyFont="1" applyFill="1" applyBorder="1" applyAlignment="1">
      <alignment horizontal="left" vertical="center"/>
    </xf>
    <xf numFmtId="0" fontId="20" fillId="0" borderId="14" xfId="0" applyFont="1" applyFill="1" applyBorder="1" applyAlignment="1">
      <alignment horizontal="center" vertical="center"/>
    </xf>
    <xf numFmtId="0" fontId="8" fillId="0" borderId="0" xfId="0" applyFont="1" applyFill="1" applyBorder="1" applyAlignment="1"/>
    <xf numFmtId="3" fontId="8" fillId="0" borderId="0" xfId="0" applyNumberFormat="1" applyFont="1" applyFill="1" applyBorder="1" applyAlignment="1"/>
    <xf numFmtId="0" fontId="14" fillId="0" borderId="0" xfId="0" applyFont="1" applyFill="1" applyBorder="1" applyAlignment="1"/>
    <xf numFmtId="3" fontId="8" fillId="0" borderId="0" xfId="0" applyNumberFormat="1" applyFont="1" applyFill="1" applyBorder="1" applyAlignment="1">
      <alignment horizontal="right"/>
    </xf>
    <xf numFmtId="3" fontId="10" fillId="0" borderId="0" xfId="0" applyNumberFormat="1" applyFont="1" applyFill="1" applyBorder="1" applyAlignment="1"/>
    <xf numFmtId="3" fontId="1" fillId="0" borderId="0" xfId="0" applyNumberFormat="1" applyFont="1" applyAlignment="1"/>
    <xf numFmtId="0" fontId="1" fillId="0" borderId="0" xfId="0" applyFont="1" applyAlignment="1"/>
  </cellXfs>
  <cellStyles count="3">
    <cellStyle name="Currency" xfId="2" builtinId="4"/>
    <cellStyle name="Normal" xfId="0" builtinId="0"/>
    <cellStyle name="Percent" xfId="1" builtinId="5"/>
  </cellStyles>
  <dxfs count="54">
    <dxf>
      <font>
        <color rgb="FFFFFFFF"/>
      </font>
      <fill>
        <patternFill patternType="solid">
          <fgColor rgb="FF414042"/>
          <bgColor rgb="FF414042"/>
        </patternFill>
      </fill>
    </dxf>
    <dxf>
      <fill>
        <patternFill patternType="solid">
          <fgColor rgb="FF85D8C8"/>
          <bgColor rgb="FF85D8C8"/>
        </patternFill>
      </fill>
    </dxf>
    <dxf>
      <fill>
        <patternFill patternType="solid">
          <fgColor rgb="FF85D8C8"/>
          <bgColor rgb="FF85D8C8"/>
        </patternFill>
      </fill>
    </dxf>
    <dxf>
      <font>
        <b/>
        <color rgb="FFFFFFFF"/>
      </font>
      <fill>
        <patternFill patternType="solid">
          <fgColor rgb="FF007966"/>
          <bgColor rgb="FF007966"/>
        </patternFill>
      </fill>
    </dxf>
    <dxf>
      <font>
        <b/>
      </font>
      <fill>
        <patternFill patternType="solid">
          <fgColor rgb="FF37AD68"/>
          <bgColor rgb="FF37AD68"/>
        </patternFill>
      </fill>
    </dxf>
    <dxf>
      <font>
        <b/>
        <color rgb="FF000000"/>
      </font>
      <fill>
        <patternFill patternType="solid">
          <fgColor rgb="FF37AD68"/>
          <bgColor rgb="FF37AD68"/>
        </patternFill>
      </fill>
    </dxf>
    <dxf>
      <fill>
        <patternFill patternType="solid">
          <fgColor rgb="FF37AD68"/>
          <bgColor rgb="FF37AD68"/>
        </patternFill>
      </fill>
    </dxf>
    <dxf>
      <font>
        <color rgb="FF000000"/>
      </font>
      <fill>
        <patternFill patternType="solid">
          <fgColor rgb="FF37AD68"/>
          <bgColor rgb="FF37AD68"/>
        </patternFill>
      </fill>
    </dxf>
    <dxf>
      <font>
        <b/>
      </font>
      <fill>
        <patternFill patternType="solid">
          <fgColor rgb="FF00B398"/>
          <bgColor rgb="FF00B398"/>
        </patternFill>
      </fill>
    </dxf>
    <dxf>
      <font>
        <color rgb="FF000000"/>
      </font>
      <fill>
        <patternFill patternType="solid">
          <fgColor rgb="FF00B398"/>
          <bgColor rgb="FF00B398"/>
        </patternFill>
      </fill>
    </dxf>
    <dxf>
      <fill>
        <patternFill patternType="solid">
          <fgColor rgb="FF00B398"/>
          <bgColor rgb="FF00B398"/>
        </patternFill>
      </fill>
    </dxf>
    <dxf>
      <fill>
        <patternFill patternType="solid">
          <fgColor rgb="FFB7B7B7"/>
          <bgColor rgb="FFB7B7B7"/>
        </patternFill>
      </fill>
    </dxf>
    <dxf>
      <fill>
        <patternFill patternType="solid">
          <fgColor rgb="FF999999"/>
          <bgColor rgb="FF999999"/>
        </patternFill>
      </fill>
    </dxf>
    <dxf>
      <fill>
        <patternFill patternType="solid">
          <fgColor rgb="FFB7B7B7"/>
          <bgColor rgb="FFB7B7B7"/>
        </patternFill>
      </fill>
    </dxf>
    <dxf>
      <font>
        <b/>
      </font>
      <fill>
        <patternFill patternType="solid">
          <fgColor rgb="FFB7B7B7"/>
          <bgColor rgb="FFB7B7B7"/>
        </patternFill>
      </fill>
    </dxf>
    <dxf>
      <font>
        <b/>
      </font>
      <fill>
        <patternFill patternType="solid">
          <fgColor rgb="FFB7B7B7"/>
          <bgColor rgb="FFB7B7B7"/>
        </patternFill>
      </fill>
    </dxf>
    <dxf>
      <font>
        <b/>
      </font>
      <fill>
        <patternFill patternType="solid">
          <fgColor rgb="FFC6E097"/>
          <bgColor rgb="FFC6E097"/>
        </patternFill>
      </fill>
    </dxf>
    <dxf>
      <font>
        <b/>
      </font>
      <fill>
        <patternFill patternType="solid">
          <fgColor rgb="FFC6E097"/>
          <bgColor rgb="FFC6E097"/>
        </patternFill>
      </fill>
    </dxf>
    <dxf>
      <font>
        <b/>
        <color rgb="FFFFFFFF"/>
      </font>
      <fill>
        <patternFill patternType="solid">
          <fgColor rgb="FF007966"/>
          <bgColor rgb="FF007966"/>
        </patternFill>
      </fill>
    </dxf>
    <dxf>
      <font>
        <color rgb="FFFFFFFF"/>
      </font>
      <fill>
        <patternFill patternType="solid">
          <fgColor rgb="FF007966"/>
          <bgColor rgb="FF007966"/>
        </patternFill>
      </fill>
    </dxf>
    <dxf>
      <font>
        <color rgb="FFFFFFFF"/>
      </font>
      <fill>
        <patternFill patternType="solid">
          <fgColor rgb="FF007966"/>
          <bgColor rgb="FF007966"/>
        </patternFill>
      </fill>
    </dxf>
    <dxf>
      <font>
        <b/>
      </font>
      <fill>
        <patternFill patternType="solid">
          <fgColor rgb="FF85D8C8"/>
          <bgColor rgb="FF85D8C8"/>
        </patternFill>
      </fill>
    </dxf>
    <dxf>
      <font>
        <b/>
      </font>
      <fill>
        <patternFill patternType="solid">
          <fgColor rgb="FF85D8C8"/>
          <bgColor rgb="FF85D8C8"/>
        </patternFill>
      </fill>
    </dxf>
    <dxf>
      <font>
        <b/>
      </font>
      <fill>
        <patternFill patternType="solid">
          <fgColor rgb="FF85D8C8"/>
          <bgColor rgb="FF85D8C8"/>
        </patternFill>
      </fill>
    </dxf>
    <dxf>
      <font>
        <b/>
        <color rgb="FFFFFFFF"/>
      </font>
      <fill>
        <patternFill patternType="solid">
          <fgColor rgb="FF414042"/>
          <bgColor rgb="FF414042"/>
        </patternFill>
      </fill>
    </dxf>
    <dxf>
      <font>
        <b/>
        <color rgb="FFFFFFFF"/>
      </font>
      <fill>
        <patternFill patternType="solid">
          <fgColor rgb="FF414042"/>
          <bgColor rgb="FF414042"/>
        </patternFill>
      </fill>
    </dxf>
    <dxf>
      <font>
        <color rgb="FFFFFFFF"/>
      </font>
      <fill>
        <patternFill patternType="solid">
          <fgColor rgb="FF414042"/>
          <bgColor rgb="FF414042"/>
        </patternFill>
      </fill>
    </dxf>
    <dxf>
      <font>
        <color rgb="FFFFFFFF"/>
      </font>
      <fill>
        <patternFill patternType="solid">
          <fgColor rgb="FF414042"/>
          <bgColor rgb="FF414042"/>
        </patternFill>
      </fill>
    </dxf>
    <dxf>
      <font>
        <b/>
      </font>
      <fill>
        <patternFill patternType="solid">
          <fgColor rgb="FF79B88D"/>
          <bgColor rgb="FF79B88D"/>
        </patternFill>
      </fill>
    </dxf>
    <dxf>
      <font>
        <b/>
      </font>
      <fill>
        <patternFill patternType="solid">
          <fgColor rgb="FF79B88D"/>
          <bgColor rgb="FF79B88D"/>
        </patternFill>
      </fill>
    </dxf>
    <dxf>
      <fill>
        <patternFill patternType="solid">
          <fgColor rgb="FF79B88D"/>
          <bgColor rgb="FF79B88D"/>
        </patternFill>
      </fill>
    </dxf>
    <dxf>
      <fill>
        <patternFill patternType="solid">
          <fgColor rgb="FF79B88D"/>
          <bgColor rgb="FF79B88D"/>
        </patternFill>
      </fill>
    </dxf>
    <dxf>
      <fill>
        <patternFill patternType="solid">
          <fgColor rgb="FFC6E097"/>
          <bgColor rgb="FFC6E097"/>
        </patternFill>
      </fill>
    </dxf>
    <dxf>
      <fill>
        <patternFill patternType="solid">
          <fgColor rgb="FFC6E097"/>
          <bgColor rgb="FFC6E097"/>
        </patternFill>
      </fill>
    </dxf>
    <dxf>
      <font>
        <b/>
        <color rgb="FF000000"/>
      </font>
      <fill>
        <patternFill patternType="solid">
          <fgColor rgb="FF85D8C8"/>
          <bgColor rgb="FF85D8C8"/>
        </patternFill>
      </fill>
    </dxf>
    <dxf>
      <font>
        <color rgb="FF000000"/>
      </font>
      <fill>
        <patternFill patternType="solid">
          <fgColor rgb="FF85D8C8"/>
          <bgColor rgb="FF85D8C8"/>
        </patternFill>
      </fill>
    </dxf>
    <dxf>
      <font>
        <b/>
        <color rgb="FF000000"/>
      </font>
      <fill>
        <patternFill patternType="solid">
          <fgColor rgb="FF00B398"/>
          <bgColor rgb="FF00B398"/>
        </patternFill>
      </fill>
    </dxf>
    <dxf>
      <font>
        <color rgb="FF000000"/>
      </font>
      <fill>
        <patternFill patternType="solid">
          <fgColor rgb="FF00B398"/>
          <bgColor rgb="FF00B398"/>
        </patternFill>
      </fill>
    </dxf>
    <dxf>
      <font>
        <b/>
        <color rgb="FF000000"/>
      </font>
      <fill>
        <patternFill patternType="solid">
          <fgColor rgb="FF37AD68"/>
          <bgColor rgb="FF37AD68"/>
        </patternFill>
      </fill>
    </dxf>
    <dxf>
      <font>
        <color rgb="FF000000"/>
      </font>
      <fill>
        <patternFill patternType="solid">
          <fgColor rgb="FF37AD68"/>
          <bgColor rgb="FF37AD68"/>
        </patternFill>
      </fill>
    </dxf>
    <dxf>
      <font>
        <color rgb="FFFFFFFF"/>
      </font>
      <fill>
        <patternFill patternType="solid">
          <fgColor rgb="FF007966"/>
          <bgColor rgb="FF007966"/>
        </patternFill>
      </fill>
    </dxf>
    <dxf>
      <font>
        <b/>
        <color rgb="FFFFFFFF"/>
      </font>
      <fill>
        <patternFill patternType="solid">
          <fgColor rgb="FF414042"/>
          <bgColor rgb="FF414042"/>
        </patternFill>
      </fill>
    </dxf>
    <dxf>
      <font>
        <b/>
        <color rgb="FF000000"/>
      </font>
      <fill>
        <patternFill patternType="solid">
          <fgColor rgb="FFB7B7B7"/>
          <bgColor rgb="FFB7B7B7"/>
        </patternFill>
      </fill>
    </dxf>
    <dxf>
      <font>
        <b/>
      </font>
      <fill>
        <patternFill patternType="solid">
          <fgColor rgb="FF93C47D"/>
          <bgColor rgb="FF93C47D"/>
        </patternFill>
      </fill>
    </dxf>
    <dxf>
      <font>
        <b/>
      </font>
      <fill>
        <patternFill patternType="solid">
          <fgColor rgb="FFC6E097"/>
          <bgColor rgb="FFC6E097"/>
        </patternFill>
      </fill>
    </dxf>
    <dxf>
      <font>
        <b/>
      </font>
      <fill>
        <patternFill patternType="solid">
          <fgColor rgb="FFFFFF00"/>
          <bgColor rgb="FFFFFF00"/>
        </patternFill>
      </fill>
    </dxf>
    <dxf>
      <font>
        <b/>
        <color rgb="FFFFFFFF"/>
      </font>
      <fill>
        <patternFill patternType="solid">
          <fgColor rgb="FF007966"/>
          <bgColor rgb="FF007966"/>
        </patternFill>
      </fill>
    </dxf>
    <dxf>
      <font>
        <color rgb="FF000000"/>
      </font>
      <fill>
        <patternFill patternType="solid">
          <fgColor rgb="FFB7B7B7"/>
          <bgColor rgb="FFB7B7B7"/>
        </patternFill>
      </fill>
    </dxf>
    <dxf>
      <fill>
        <patternFill patternType="solid">
          <fgColor rgb="FF79B88D"/>
          <bgColor rgb="FF79B88D"/>
        </patternFill>
      </fill>
    </dxf>
    <dxf>
      <fill>
        <patternFill patternType="solid">
          <fgColor rgb="FFC6E097"/>
          <bgColor rgb="FFC6E097"/>
        </patternFill>
      </fill>
    </dxf>
    <dxf>
      <fill>
        <patternFill patternType="solid">
          <fgColor rgb="FF00FF00"/>
          <bgColor rgb="FF00FF00"/>
        </patternFill>
      </fill>
    </dxf>
    <dxf>
      <fill>
        <patternFill patternType="solid">
          <fgColor rgb="FFEBEFF1"/>
          <bgColor rgb="FFEBEFF1"/>
        </patternFill>
      </fill>
    </dxf>
    <dxf>
      <fill>
        <patternFill patternType="solid">
          <fgColor rgb="FFFFFFFF"/>
          <bgColor rgb="FFFFFFFF"/>
        </patternFill>
      </fill>
    </dxf>
    <dxf>
      <fill>
        <patternFill patternType="solid">
          <fgColor rgb="FF78909C"/>
          <bgColor rgb="FF78909C"/>
        </patternFill>
      </fill>
    </dxf>
  </dxfs>
  <tableStyles count="1">
    <tableStyle name="baseline calculations-style" pivot="0" count="3" xr9:uid="{00000000-0011-0000-FFFF-FFFF00000000}">
      <tableStyleElement type="headerRow" dxfId="53"/>
      <tableStyleElement type="firstRowStripe" dxfId="52"/>
      <tableStyleElement type="secondRowStripe" dxfId="51"/>
    </tableStyle>
  </tableStyles>
  <colors>
    <mruColors>
      <color rgb="FF79B88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_rels/chart10.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8.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9.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lvl="0">
              <a:defRPr b="0">
                <a:solidFill>
                  <a:srgbClr val="757575"/>
                </a:solidFill>
                <a:latin typeface="+mn-lt"/>
              </a:defRPr>
            </a:pPr>
            <a:r>
              <a:rPr lang="en-AU" b="0">
                <a:solidFill>
                  <a:srgbClr val="757575"/>
                </a:solidFill>
                <a:latin typeface="+mn-lt"/>
              </a:rPr>
              <a:t>10 highest-polluting Safeguard facilities		</a:t>
            </a:r>
          </a:p>
        </c:rich>
      </c:tx>
      <c:overlay val="0"/>
    </c:title>
    <c:autoTitleDeleted val="0"/>
    <c:plotArea>
      <c:layout/>
      <c:barChart>
        <c:barDir val="bar"/>
        <c:grouping val="clustered"/>
        <c:varyColors val="1"/>
        <c:ser>
          <c:idx val="0"/>
          <c:order val="0"/>
          <c:tx>
            <c:strRef>
              <c:f>'Figure 1 10 most polluting'!$B$3:$B$4</c:f>
              <c:strCache>
                <c:ptCount val="2"/>
                <c:pt idx="0">
                  <c:v>10 highest-polluting Safeguard facilities</c:v>
                </c:pt>
                <c:pt idx="1">
                  <c:v>emissions over first 5 years of Safeguard (tCO2e)</c:v>
                </c:pt>
              </c:strCache>
            </c:strRef>
          </c:tx>
          <c:spPr>
            <a:solidFill>
              <a:srgbClr val="79B88D"/>
            </a:solidFill>
            <a:ln cmpd="sng">
              <a:solidFill>
                <a:srgbClr val="000000"/>
              </a:solidFill>
            </a:ln>
          </c:spPr>
          <c:invertIfNegative val="1"/>
          <c:cat>
            <c:strRef>
              <c:f>'Figure 1 10 most polluting'!$A$5:$A$14</c:f>
              <c:strCache>
                <c:ptCount val="10"/>
                <c:pt idx="0">
                  <c:v>Gorgon Operations</c:v>
                </c:pt>
                <c:pt idx="1">
                  <c:v>North West Shelf Project</c:v>
                </c:pt>
                <c:pt idx="2">
                  <c:v>Port Kembla Steelworks</c:v>
                </c:pt>
                <c:pt idx="3">
                  <c:v>Start up and Operations of the Ichthys LNG Project</c:v>
                </c:pt>
                <c:pt idx="4">
                  <c:v>Qantas Airways Limited National Transport Facility</c:v>
                </c:pt>
                <c:pt idx="5">
                  <c:v>WOR01 Worsley Alumina Refinery/Mine</c:v>
                </c:pt>
                <c:pt idx="6">
                  <c:v>Queensland Alumina Limited Refinery</c:v>
                </c:pt>
                <c:pt idx="7">
                  <c:v>Wheatstone Operations</c:v>
                </c:pt>
                <c:pt idx="8">
                  <c:v>Capcoal Mine</c:v>
                </c:pt>
                <c:pt idx="9">
                  <c:v>Liberty Primary Steel Whyalla Steelworks</c:v>
                </c:pt>
              </c:strCache>
            </c:strRef>
          </c:cat>
          <c:val>
            <c:numRef>
              <c:f>'Figure 1 10 most polluting'!$B$5:$B$14</c:f>
              <c:numCache>
                <c:formatCode>#,##0</c:formatCode>
                <c:ptCount val="10"/>
                <c:pt idx="0">
                  <c:v>37437807</c:v>
                </c:pt>
                <c:pt idx="1">
                  <c:v>36352819</c:v>
                </c:pt>
                <c:pt idx="2">
                  <c:v>30960496</c:v>
                </c:pt>
                <c:pt idx="3">
                  <c:v>20591539</c:v>
                </c:pt>
                <c:pt idx="4">
                  <c:v>18788216</c:v>
                </c:pt>
                <c:pt idx="5">
                  <c:v>18233453</c:v>
                </c:pt>
                <c:pt idx="6">
                  <c:v>16303886</c:v>
                </c:pt>
                <c:pt idx="7">
                  <c:v>14855777</c:v>
                </c:pt>
                <c:pt idx="8">
                  <c:v>13452346</c:v>
                </c:pt>
                <c:pt idx="9">
                  <c:v>11987808</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32DE-4171-A12E-5B84368CEAD0}"/>
            </c:ext>
          </c:extLst>
        </c:ser>
        <c:ser>
          <c:idx val="1"/>
          <c:order val="1"/>
          <c:tx>
            <c:strRef>
              <c:f>'Figure 1 10 most polluting'!$C$3:$C$4</c:f>
              <c:strCache>
                <c:ptCount val="2"/>
                <c:pt idx="0">
                  <c:v>10 highest-polluting Safeguard facilities</c:v>
                </c:pt>
                <c:pt idx="1">
                  <c:v>Parent company</c:v>
                </c:pt>
              </c:strCache>
            </c:strRef>
          </c:tx>
          <c:invertIfNegative val="1"/>
          <c:cat>
            <c:strRef>
              <c:f>'Figure 1 10 most polluting'!$A$5:$A$14</c:f>
              <c:strCache>
                <c:ptCount val="10"/>
                <c:pt idx="0">
                  <c:v>Gorgon Operations</c:v>
                </c:pt>
                <c:pt idx="1">
                  <c:v>North West Shelf Project</c:v>
                </c:pt>
                <c:pt idx="2">
                  <c:v>Port Kembla Steelworks</c:v>
                </c:pt>
                <c:pt idx="3">
                  <c:v>Start up and Operations of the Ichthys LNG Project</c:v>
                </c:pt>
                <c:pt idx="4">
                  <c:v>Qantas Airways Limited National Transport Facility</c:v>
                </c:pt>
                <c:pt idx="5">
                  <c:v>WOR01 Worsley Alumina Refinery/Mine</c:v>
                </c:pt>
                <c:pt idx="6">
                  <c:v>Queensland Alumina Limited Refinery</c:v>
                </c:pt>
                <c:pt idx="7">
                  <c:v>Wheatstone Operations</c:v>
                </c:pt>
                <c:pt idx="8">
                  <c:v>Capcoal Mine</c:v>
                </c:pt>
                <c:pt idx="9">
                  <c:v>Liberty Primary Steel Whyalla Steelworks</c:v>
                </c:pt>
              </c:strCache>
            </c:strRef>
          </c:cat>
          <c:val>
            <c:numRef>
              <c:f>'Figure 1 10 most polluting'!$C$5:$C$14</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1-32DE-4171-A12E-5B84368CEAD0}"/>
            </c:ext>
          </c:extLst>
        </c:ser>
        <c:dLbls>
          <c:showLegendKey val="0"/>
          <c:showVal val="0"/>
          <c:showCatName val="0"/>
          <c:showSerName val="0"/>
          <c:showPercent val="0"/>
          <c:showBubbleSize val="0"/>
        </c:dLbls>
        <c:gapWidth val="150"/>
        <c:axId val="1787457096"/>
        <c:axId val="1064915083"/>
      </c:barChart>
      <c:catAx>
        <c:axId val="1787457096"/>
        <c:scaling>
          <c:orientation val="maxMin"/>
        </c:scaling>
        <c:delete val="0"/>
        <c:axPos val="l"/>
        <c:title>
          <c:tx>
            <c:rich>
              <a:bodyPr/>
              <a:lstStyle/>
              <a:p>
                <a:pPr lvl="0">
                  <a:defRPr b="0">
                    <a:solidFill>
                      <a:srgbClr val="000000"/>
                    </a:solidFill>
                    <a:latin typeface="+mn-lt"/>
                  </a:defRPr>
                </a:pPr>
                <a:r>
                  <a:rPr lang="en-AU" b="0">
                    <a:solidFill>
                      <a:srgbClr val="000000"/>
                    </a:solidFill>
                    <a:latin typeface="+mn-lt"/>
                  </a:rPr>
                  <a:t>Safeguard facility</a:t>
                </a:r>
              </a:p>
            </c:rich>
          </c:tx>
          <c:overlay val="0"/>
        </c:title>
        <c:numFmt formatCode="General" sourceLinked="1"/>
        <c:majorTickMark val="none"/>
        <c:minorTickMark val="none"/>
        <c:tickLblPos val="nextTo"/>
        <c:txPr>
          <a:bodyPr/>
          <a:lstStyle/>
          <a:p>
            <a:pPr lvl="0">
              <a:defRPr b="0">
                <a:solidFill>
                  <a:srgbClr val="000000"/>
                </a:solidFill>
                <a:latin typeface="+mn-lt"/>
              </a:defRPr>
            </a:pPr>
            <a:endParaRPr lang="en-US"/>
          </a:p>
        </c:txPr>
        <c:crossAx val="1064915083"/>
        <c:crosses val="autoZero"/>
        <c:auto val="1"/>
        <c:lblAlgn val="ctr"/>
        <c:lblOffset val="100"/>
        <c:noMultiLvlLbl val="1"/>
      </c:catAx>
      <c:valAx>
        <c:axId val="1064915083"/>
        <c:scaling>
          <c:orientation val="minMax"/>
        </c:scaling>
        <c:delete val="0"/>
        <c:axPos val="b"/>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lang="en-AU" b="0">
                    <a:solidFill>
                      <a:srgbClr val="000000"/>
                    </a:solidFill>
                    <a:latin typeface="+mn-lt"/>
                  </a:rPr>
                  <a:t>Emissions (tCO2e) 2016-17 to 2020-21</a:t>
                </a:r>
              </a:p>
            </c:rich>
          </c:tx>
          <c:overlay val="0"/>
        </c:title>
        <c:numFmt formatCode="#,##0" sourceLinked="1"/>
        <c:majorTickMark val="none"/>
        <c:minorTickMark val="none"/>
        <c:tickLblPos val="nextTo"/>
        <c:spPr>
          <a:ln/>
        </c:spPr>
        <c:txPr>
          <a:bodyPr/>
          <a:lstStyle/>
          <a:p>
            <a:pPr lvl="0">
              <a:defRPr b="0">
                <a:solidFill>
                  <a:srgbClr val="000000"/>
                </a:solidFill>
                <a:latin typeface="+mn-lt"/>
              </a:defRPr>
            </a:pPr>
            <a:endParaRPr lang="en-US"/>
          </a:p>
        </c:txPr>
        <c:crossAx val="1787457096"/>
        <c:crosses val="max"/>
        <c:crossBetween val="between"/>
      </c:valAx>
    </c:plotArea>
    <c:plotVisOnly val="1"/>
    <c:dispBlanksAs val="zero"/>
    <c:showDLblsOverMax val="1"/>
  </c:chart>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AU"/>
              <a:t>Average emissions for this activity per year (tCO2e)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'Activity case study generator'!$A$7</c:f>
              <c:strCache>
                <c:ptCount val="1"/>
                <c:pt idx="0">
                  <c:v>average baseline</c:v>
                </c:pt>
              </c:strCache>
            </c:strRef>
          </c:tx>
          <c:spPr>
            <a:ln w="28575" cap="rnd">
              <a:solidFill>
                <a:schemeClr val="accent1"/>
              </a:solidFill>
              <a:round/>
            </a:ln>
            <a:effectLst/>
          </c:spPr>
          <c:marker>
            <c:symbol val="none"/>
          </c:marker>
          <c:cat>
            <c:numLit>
              <c:formatCode>General</c:formatCode>
              <c:ptCount val="5"/>
              <c:pt idx="0">
                <c:v>2017</c:v>
              </c:pt>
              <c:pt idx="1">
                <c:v>2018</c:v>
              </c:pt>
              <c:pt idx="2">
                <c:v>2019</c:v>
              </c:pt>
              <c:pt idx="3">
                <c:v>2020</c:v>
              </c:pt>
              <c:pt idx="4">
                <c:v>2021</c:v>
              </c:pt>
            </c:numLit>
          </c:cat>
          <c:val>
            <c:numRef>
              <c:f>'Activity case study generator'!$B$7:$F$7</c:f>
              <c:numCache>
                <c:formatCode>#,##0</c:formatCode>
                <c:ptCount val="5"/>
                <c:pt idx="0">
                  <c:v>1017678.1</c:v>
                </c:pt>
                <c:pt idx="1">
                  <c:v>1243633.6590909092</c:v>
                </c:pt>
                <c:pt idx="2">
                  <c:v>1243633.6590909092</c:v>
                </c:pt>
                <c:pt idx="3">
                  <c:v>1258034.7727272727</c:v>
                </c:pt>
                <c:pt idx="4">
                  <c:v>1241683.8809523811</c:v>
                </c:pt>
              </c:numCache>
            </c:numRef>
          </c:val>
          <c:smooth val="0"/>
          <c:extLst>
            <c:ext xmlns:c16="http://schemas.microsoft.com/office/drawing/2014/chart" uri="{C3380CC4-5D6E-409C-BE32-E72D297353CC}">
              <c16:uniqueId val="{00000003-EDEC-4259-976F-0BB148FC87F7}"/>
            </c:ext>
          </c:extLst>
        </c:ser>
        <c:ser>
          <c:idx val="1"/>
          <c:order val="1"/>
          <c:tx>
            <c:strRef>
              <c:f>'Activity case study generator'!$A$8</c:f>
              <c:strCache>
                <c:ptCount val="1"/>
                <c:pt idx="0">
                  <c:v>average reported emissions</c:v>
                </c:pt>
              </c:strCache>
            </c:strRef>
          </c:tx>
          <c:spPr>
            <a:ln w="28575" cap="rnd">
              <a:solidFill>
                <a:schemeClr val="accent2"/>
              </a:solidFill>
              <a:round/>
            </a:ln>
            <a:effectLst/>
          </c:spPr>
          <c:marker>
            <c:symbol val="none"/>
          </c:marker>
          <c:cat>
            <c:numLit>
              <c:formatCode>General</c:formatCode>
              <c:ptCount val="5"/>
              <c:pt idx="0">
                <c:v>2017</c:v>
              </c:pt>
              <c:pt idx="1">
                <c:v>2018</c:v>
              </c:pt>
              <c:pt idx="2">
                <c:v>2019</c:v>
              </c:pt>
              <c:pt idx="3">
                <c:v>2020</c:v>
              </c:pt>
              <c:pt idx="4">
                <c:v>2021</c:v>
              </c:pt>
            </c:numLit>
          </c:cat>
          <c:val>
            <c:numRef>
              <c:f>'Activity case study generator'!$B$8:$F$8</c:f>
              <c:numCache>
                <c:formatCode>#,##0</c:formatCode>
                <c:ptCount val="5"/>
                <c:pt idx="0">
                  <c:v>1211676.75</c:v>
                </c:pt>
                <c:pt idx="1">
                  <c:v>1232861.935483871</c:v>
                </c:pt>
                <c:pt idx="2">
                  <c:v>1589057.448275862</c:v>
                </c:pt>
                <c:pt idx="3">
                  <c:v>1543390.142857143</c:v>
                </c:pt>
                <c:pt idx="4">
                  <c:v>1566625</c:v>
                </c:pt>
              </c:numCache>
            </c:numRef>
          </c:val>
          <c:smooth val="0"/>
          <c:extLst>
            <c:ext xmlns:c16="http://schemas.microsoft.com/office/drawing/2014/chart" uri="{C3380CC4-5D6E-409C-BE32-E72D297353CC}">
              <c16:uniqueId val="{00000004-EDEC-4259-976F-0BB148FC87F7}"/>
            </c:ext>
          </c:extLst>
        </c:ser>
        <c:dLbls>
          <c:showLegendKey val="0"/>
          <c:showVal val="0"/>
          <c:showCatName val="0"/>
          <c:showSerName val="0"/>
          <c:showPercent val="0"/>
          <c:showBubbleSize val="0"/>
        </c:dLbls>
        <c:smooth val="0"/>
        <c:axId val="665185120"/>
        <c:axId val="665190696"/>
        <c:extLst/>
      </c:lineChart>
      <c:catAx>
        <c:axId val="6651851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5190696"/>
        <c:crosses val="autoZero"/>
        <c:auto val="1"/>
        <c:lblAlgn val="ctr"/>
        <c:lblOffset val="100"/>
        <c:noMultiLvlLbl val="0"/>
      </c:catAx>
      <c:valAx>
        <c:axId val="66519069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518512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lvl="0">
              <a:defRPr b="0">
                <a:solidFill>
                  <a:srgbClr val="757575"/>
                </a:solidFill>
                <a:latin typeface="+mn-lt"/>
              </a:defRPr>
            </a:pPr>
            <a:r>
              <a:rPr lang="en-AU" b="0">
                <a:solidFill>
                  <a:srgbClr val="757575"/>
                </a:solidFill>
                <a:latin typeface="+mn-lt"/>
              </a:rPr>
              <a:t>10 highest-polluting parent companies of Safeguard facilities		</a:t>
            </a:r>
          </a:p>
        </c:rich>
      </c:tx>
      <c:overlay val="0"/>
    </c:title>
    <c:autoTitleDeleted val="0"/>
    <c:plotArea>
      <c:layout/>
      <c:barChart>
        <c:barDir val="bar"/>
        <c:grouping val="clustered"/>
        <c:varyColors val="1"/>
        <c:ser>
          <c:idx val="0"/>
          <c:order val="0"/>
          <c:tx>
            <c:strRef>
              <c:f>'Figure 1 10 most polluting'!$B$18:$B$19</c:f>
              <c:strCache>
                <c:ptCount val="2"/>
                <c:pt idx="0">
                  <c:v>10 highest-polluting parent companies of Safeguard facilities - chart data</c:v>
                </c:pt>
                <c:pt idx="1">
                  <c:v>emissions over first 5 years of Safeguard (tCO2e)</c:v>
                </c:pt>
              </c:strCache>
            </c:strRef>
          </c:tx>
          <c:spPr>
            <a:solidFill>
              <a:srgbClr val="79B88D"/>
            </a:solidFill>
            <a:ln cmpd="sng">
              <a:solidFill>
                <a:srgbClr val="000000"/>
              </a:solidFill>
            </a:ln>
          </c:spPr>
          <c:invertIfNegative val="1"/>
          <c:cat>
            <c:strRef>
              <c:f>'Figure 1 10 most polluting'!$A$20:$A$29</c:f>
              <c:strCache>
                <c:ptCount val="10"/>
                <c:pt idx="0">
                  <c:v>Rio Tinto</c:v>
                </c:pt>
                <c:pt idx="1">
                  <c:v>Chevron</c:v>
                </c:pt>
                <c:pt idx="2">
                  <c:v>Woodside</c:v>
                </c:pt>
                <c:pt idx="3">
                  <c:v>Santos</c:v>
                </c:pt>
                <c:pt idx="4">
                  <c:v>Anglo American plc</c:v>
                </c:pt>
                <c:pt idx="5">
                  <c:v>BlueScope Steel Limited</c:v>
                </c:pt>
                <c:pt idx="6">
                  <c:v>BHP</c:v>
                </c:pt>
                <c:pt idx="7">
                  <c:v>South32</c:v>
                </c:pt>
                <c:pt idx="8">
                  <c:v>Glencore</c:v>
                </c:pt>
                <c:pt idx="9">
                  <c:v>GFG Alliance</c:v>
                </c:pt>
              </c:strCache>
            </c:strRef>
          </c:cat>
          <c:val>
            <c:numRef>
              <c:f>'Figure 1 10 most polluting'!$B$20:$B$29</c:f>
              <c:numCache>
                <c:formatCode>#,##0</c:formatCode>
                <c:ptCount val="10"/>
                <c:pt idx="0">
                  <c:v>53033921</c:v>
                </c:pt>
                <c:pt idx="1">
                  <c:v>52812109</c:v>
                </c:pt>
                <c:pt idx="2">
                  <c:v>49078051</c:v>
                </c:pt>
                <c:pt idx="3">
                  <c:v>33743643</c:v>
                </c:pt>
                <c:pt idx="4">
                  <c:v>31785694</c:v>
                </c:pt>
                <c:pt idx="5">
                  <c:v>31491296</c:v>
                </c:pt>
                <c:pt idx="6">
                  <c:v>31469295</c:v>
                </c:pt>
                <c:pt idx="7">
                  <c:v>30931390</c:v>
                </c:pt>
                <c:pt idx="8">
                  <c:v>26463832</c:v>
                </c:pt>
                <c:pt idx="9">
                  <c:v>21236646</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A1EA-46EA-AFD7-3C3CC864F236}"/>
            </c:ext>
          </c:extLst>
        </c:ser>
        <c:dLbls>
          <c:showLegendKey val="0"/>
          <c:showVal val="0"/>
          <c:showCatName val="0"/>
          <c:showSerName val="0"/>
          <c:showPercent val="0"/>
          <c:showBubbleSize val="0"/>
        </c:dLbls>
        <c:gapWidth val="150"/>
        <c:axId val="223311359"/>
        <c:axId val="1507025065"/>
      </c:barChart>
      <c:catAx>
        <c:axId val="223311359"/>
        <c:scaling>
          <c:orientation val="maxMin"/>
        </c:scaling>
        <c:delete val="0"/>
        <c:axPos val="l"/>
        <c:title>
          <c:tx>
            <c:rich>
              <a:bodyPr/>
              <a:lstStyle/>
              <a:p>
                <a:pPr lvl="0">
                  <a:defRPr b="0">
                    <a:solidFill>
                      <a:srgbClr val="000000"/>
                    </a:solidFill>
                    <a:latin typeface="+mn-lt"/>
                  </a:defRPr>
                </a:pPr>
                <a:r>
                  <a:rPr lang="en-AU" b="0">
                    <a:solidFill>
                      <a:srgbClr val="000000"/>
                    </a:solidFill>
                    <a:latin typeface="+mn-lt"/>
                  </a:rPr>
                  <a:t>Company</a:t>
                </a:r>
              </a:p>
            </c:rich>
          </c:tx>
          <c:overlay val="0"/>
        </c:title>
        <c:numFmt formatCode="General" sourceLinked="1"/>
        <c:majorTickMark val="none"/>
        <c:minorTickMark val="none"/>
        <c:tickLblPos val="nextTo"/>
        <c:txPr>
          <a:bodyPr/>
          <a:lstStyle/>
          <a:p>
            <a:pPr lvl="0">
              <a:defRPr b="0">
                <a:solidFill>
                  <a:srgbClr val="000000"/>
                </a:solidFill>
                <a:latin typeface="+mn-lt"/>
              </a:defRPr>
            </a:pPr>
            <a:endParaRPr lang="en-US"/>
          </a:p>
        </c:txPr>
        <c:crossAx val="1507025065"/>
        <c:crosses val="autoZero"/>
        <c:auto val="1"/>
        <c:lblAlgn val="ctr"/>
        <c:lblOffset val="100"/>
        <c:noMultiLvlLbl val="1"/>
      </c:catAx>
      <c:valAx>
        <c:axId val="1507025065"/>
        <c:scaling>
          <c:orientation val="minMax"/>
        </c:scaling>
        <c:delete val="0"/>
        <c:axPos val="b"/>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lang="en-AU" b="0">
                    <a:solidFill>
                      <a:srgbClr val="000000"/>
                    </a:solidFill>
                    <a:latin typeface="+mn-lt"/>
                  </a:rPr>
                  <a:t>Emissions (tCO2e) 2016-17 to 2020-21</a:t>
                </a:r>
              </a:p>
            </c:rich>
          </c:tx>
          <c:overlay val="0"/>
        </c:title>
        <c:numFmt formatCode="#,##0" sourceLinked="1"/>
        <c:majorTickMark val="none"/>
        <c:minorTickMark val="none"/>
        <c:tickLblPos val="nextTo"/>
        <c:spPr>
          <a:ln/>
        </c:spPr>
        <c:txPr>
          <a:bodyPr/>
          <a:lstStyle/>
          <a:p>
            <a:pPr lvl="0">
              <a:defRPr b="0">
                <a:solidFill>
                  <a:srgbClr val="000000"/>
                </a:solidFill>
                <a:latin typeface="+mn-lt"/>
              </a:defRPr>
            </a:pPr>
            <a:endParaRPr lang="en-US"/>
          </a:p>
        </c:txPr>
        <c:crossAx val="223311359"/>
        <c:crosses val="max"/>
        <c:crossBetween val="between"/>
      </c:valAx>
      <c:spPr>
        <a:noFill/>
        <a:ln w="25400">
          <a:noFill/>
        </a:ln>
      </c:spPr>
    </c:plotArea>
    <c:plotVisOnly val="1"/>
    <c:dispBlanksAs val="zero"/>
    <c:showDLblsOverMax val="1"/>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lvl="0">
              <a:defRPr b="0">
                <a:solidFill>
                  <a:srgbClr val="757575"/>
                </a:solidFill>
                <a:latin typeface="+mn-lt"/>
              </a:defRPr>
            </a:pPr>
            <a:r>
              <a:rPr lang="en-AU" b="0">
                <a:solidFill>
                  <a:srgbClr val="757575"/>
                </a:solidFill>
                <a:latin typeface="+mn-lt"/>
              </a:rPr>
              <a:t>Safeguard facility coal mine expansion plans</a:t>
            </a:r>
          </a:p>
        </c:rich>
      </c:tx>
      <c:overlay val="0"/>
    </c:title>
    <c:autoTitleDeleted val="0"/>
    <c:plotArea>
      <c:layout/>
      <c:barChart>
        <c:barDir val="bar"/>
        <c:grouping val="stacked"/>
        <c:varyColors val="1"/>
        <c:ser>
          <c:idx val="0"/>
          <c:order val="0"/>
          <c:tx>
            <c:v>2016-17</c:v>
          </c:tx>
          <c:spPr>
            <a:solidFill>
              <a:srgbClr val="C6E097"/>
            </a:solidFill>
            <a:ln cmpd="sng">
              <a:solidFill>
                <a:srgbClr val="000000"/>
              </a:solidFill>
            </a:ln>
          </c:spPr>
          <c:invertIfNegative val="1"/>
          <c:cat>
            <c:strRef>
              <c:f>'Figure 2 Expansion estimates'!$A$2:$A$27</c:f>
              <c:strCache>
                <c:ptCount val="26"/>
                <c:pt idx="0">
                  <c:v>Dartbrook Coal Mine</c:v>
                </c:pt>
                <c:pt idx="1">
                  <c:v>Mangoola</c:v>
                </c:pt>
                <c:pt idx="2">
                  <c:v>Mt Owen Glendell Complex</c:v>
                </c:pt>
                <c:pt idx="3">
                  <c:v>United Coal Mine</c:v>
                </c:pt>
                <c:pt idx="4">
                  <c:v>Mount Pleasant Operations</c:v>
                </c:pt>
                <c:pt idx="5">
                  <c:v>New Acland Mine</c:v>
                </c:pt>
                <c:pt idx="6">
                  <c:v>Isaac Plains Coal Mine</c:v>
                </c:pt>
                <c:pt idx="7">
                  <c:v>Duralie Open Cut Mine</c:v>
                </c:pt>
                <c:pt idx="8">
                  <c:v>Mount Thorley Operations</c:v>
                </c:pt>
                <c:pt idx="9">
                  <c:v>Moranbah North Mine</c:v>
                </c:pt>
                <c:pt idx="10">
                  <c:v>Mandalong Mine</c:v>
                </c:pt>
                <c:pt idx="11">
                  <c:v>SIMEC Mining - Tahmoor Coal Mine</c:v>
                </c:pt>
                <c:pt idx="12">
                  <c:v>Grosvenor Mine</c:v>
                </c:pt>
                <c:pt idx="13">
                  <c:v>Hunter Valley Operations mine</c:v>
                </c:pt>
                <c:pt idx="14">
                  <c:v>Caval Ridge Mine</c:v>
                </c:pt>
                <c:pt idx="15">
                  <c:v>HVY01 Hunter Valley Energy Coal - CCL Facility</c:v>
                </c:pt>
                <c:pt idx="16">
                  <c:v>Narrabri Underground Mine</c:v>
                </c:pt>
                <c:pt idx="17">
                  <c:v>Carborough Downs coal mine</c:v>
                </c:pt>
                <c:pt idx="18">
                  <c:v>Saraji Mine</c:v>
                </c:pt>
                <c:pt idx="19">
                  <c:v>Chain Valley Colliery</c:v>
                </c:pt>
                <c:pt idx="20">
                  <c:v>Lake Vermont Mine</c:v>
                </c:pt>
                <c:pt idx="21">
                  <c:v>Ashton Coal Mine (Underground)</c:v>
                </c:pt>
                <c:pt idx="22">
                  <c:v>Bulga Coal Complex</c:v>
                </c:pt>
                <c:pt idx="23">
                  <c:v>Boggabri Coal Minesite</c:v>
                </c:pt>
                <c:pt idx="24">
                  <c:v>Rolleston Coal Mine</c:v>
                </c:pt>
                <c:pt idx="25">
                  <c:v>Newstan Colliery</c:v>
                </c:pt>
              </c:strCache>
            </c:strRef>
          </c:cat>
          <c:val>
            <c:numRef>
              <c:f>'Figure 2 Expansion estimates'!$B$2:$B$27</c:f>
              <c:numCache>
                <c:formatCode>General</c:formatCode>
                <c:ptCount val="2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557E-4AFE-B1B1-D4BEB151E383}"/>
            </c:ext>
          </c:extLst>
        </c:ser>
        <c:ser>
          <c:idx val="1"/>
          <c:order val="1"/>
          <c:tx>
            <c:strRef>
              <c:f>'Figure 2 Expansion estimates'!$C$1</c:f>
              <c:strCache>
                <c:ptCount val="1"/>
                <c:pt idx="0">
                  <c:v>expansion/extension RoM mtpa (Million tonnes)</c:v>
                </c:pt>
              </c:strCache>
            </c:strRef>
          </c:tx>
          <c:spPr>
            <a:solidFill>
              <a:srgbClr val="79B88D"/>
            </a:solidFill>
          </c:spPr>
          <c:invertIfNegative val="1"/>
          <c:cat>
            <c:strRef>
              <c:f>'Figure 2 Expansion estimates'!$A$2:$A$27</c:f>
              <c:strCache>
                <c:ptCount val="26"/>
                <c:pt idx="0">
                  <c:v>Dartbrook Coal Mine</c:v>
                </c:pt>
                <c:pt idx="1">
                  <c:v>Mangoola</c:v>
                </c:pt>
                <c:pt idx="2">
                  <c:v>Mt Owen Glendell Complex</c:v>
                </c:pt>
                <c:pt idx="3">
                  <c:v>United Coal Mine</c:v>
                </c:pt>
                <c:pt idx="4">
                  <c:v>Mount Pleasant Operations</c:v>
                </c:pt>
                <c:pt idx="5">
                  <c:v>New Acland Mine</c:v>
                </c:pt>
                <c:pt idx="6">
                  <c:v>Isaac Plains Coal Mine</c:v>
                </c:pt>
                <c:pt idx="7">
                  <c:v>Duralie Open Cut Mine</c:v>
                </c:pt>
                <c:pt idx="8">
                  <c:v>Mount Thorley Operations</c:v>
                </c:pt>
                <c:pt idx="9">
                  <c:v>Moranbah North Mine</c:v>
                </c:pt>
                <c:pt idx="10">
                  <c:v>Mandalong Mine</c:v>
                </c:pt>
                <c:pt idx="11">
                  <c:v>SIMEC Mining - Tahmoor Coal Mine</c:v>
                </c:pt>
                <c:pt idx="12">
                  <c:v>Grosvenor Mine</c:v>
                </c:pt>
                <c:pt idx="13">
                  <c:v>Hunter Valley Operations mine</c:v>
                </c:pt>
                <c:pt idx="14">
                  <c:v>Caval Ridge Mine</c:v>
                </c:pt>
                <c:pt idx="15">
                  <c:v>HVY01 Hunter Valley Energy Coal - CCL Facility</c:v>
                </c:pt>
                <c:pt idx="16">
                  <c:v>Narrabri Underground Mine</c:v>
                </c:pt>
                <c:pt idx="17">
                  <c:v>Carborough Downs coal mine</c:v>
                </c:pt>
                <c:pt idx="18">
                  <c:v>Saraji Mine</c:v>
                </c:pt>
                <c:pt idx="19">
                  <c:v>Chain Valley Colliery</c:v>
                </c:pt>
                <c:pt idx="20">
                  <c:v>Lake Vermont Mine</c:v>
                </c:pt>
                <c:pt idx="21">
                  <c:v>Ashton Coal Mine (Underground)</c:v>
                </c:pt>
                <c:pt idx="22">
                  <c:v>Bulga Coal Complex</c:v>
                </c:pt>
                <c:pt idx="23">
                  <c:v>Boggabri Coal Minesite</c:v>
                </c:pt>
                <c:pt idx="24">
                  <c:v>Rolleston Coal Mine</c:v>
                </c:pt>
                <c:pt idx="25">
                  <c:v>Newstan Colliery</c:v>
                </c:pt>
              </c:strCache>
            </c:strRef>
          </c:cat>
          <c:val>
            <c:numRef>
              <c:f>'Figure 2 Expansion estimates'!$C$2:$C$27</c:f>
              <c:numCache>
                <c:formatCode>General</c:formatCode>
                <c:ptCount val="26"/>
                <c:pt idx="0">
                  <c:v>7.4</c:v>
                </c:pt>
                <c:pt idx="1">
                  <c:v>5</c:v>
                </c:pt>
                <c:pt idx="2">
                  <c:v>24</c:v>
                </c:pt>
                <c:pt idx="3">
                  <c:v>10</c:v>
                </c:pt>
                <c:pt idx="4">
                  <c:v>7.5</c:v>
                </c:pt>
                <c:pt idx="5">
                  <c:v>6.5</c:v>
                </c:pt>
                <c:pt idx="6">
                  <c:v>1</c:v>
                </c:pt>
                <c:pt idx="7">
                  <c:v>1.2</c:v>
                </c:pt>
                <c:pt idx="8">
                  <c:v>2</c:v>
                </c:pt>
                <c:pt idx="9">
                  <c:v>5.5</c:v>
                </c:pt>
                <c:pt idx="10">
                  <c:v>0</c:v>
                </c:pt>
                <c:pt idx="11">
                  <c:v>3.5</c:v>
                </c:pt>
                <c:pt idx="12">
                  <c:v>6</c:v>
                </c:pt>
                <c:pt idx="13">
                  <c:v>42</c:v>
                </c:pt>
                <c:pt idx="14">
                  <c:v>15</c:v>
                </c:pt>
                <c:pt idx="15">
                  <c:v>16</c:v>
                </c:pt>
                <c:pt idx="16">
                  <c:v>9</c:v>
                </c:pt>
                <c:pt idx="17">
                  <c:v>3.1</c:v>
                </c:pt>
                <c:pt idx="18">
                  <c:v>7</c:v>
                </c:pt>
                <c:pt idx="19">
                  <c:v>2</c:v>
                </c:pt>
                <c:pt idx="20">
                  <c:v>5.5</c:v>
                </c:pt>
                <c:pt idx="21">
                  <c:v>1.3</c:v>
                </c:pt>
                <c:pt idx="22">
                  <c:v>6.6</c:v>
                </c:pt>
                <c:pt idx="23">
                  <c:v>8.6</c:v>
                </c:pt>
                <c:pt idx="24">
                  <c:v>5</c:v>
                </c:pt>
                <c:pt idx="25">
                  <c:v>3.2</c:v>
                </c:pt>
              </c:numCache>
            </c:numRef>
          </c:val>
          <c:extLst>
            <c:ext xmlns:c14="http://schemas.microsoft.com/office/drawing/2007/8/2/chart" uri="{6F2FDCE9-48DA-4B69-8628-5D25D57E5C99}">
              <c14:invertSolidFillFmt>
                <c14:spPr xmlns:c14="http://schemas.microsoft.com/office/drawing/2007/8/2/chart">
                  <a:solidFill>
                    <a:srgbClr val="FFFFFF"/>
                  </a:solidFill>
                </c14:spPr>
              </c14:invertSolidFillFmt>
            </c:ext>
            <c:ext xmlns:c16="http://schemas.microsoft.com/office/drawing/2014/chart" uri="{C3380CC4-5D6E-409C-BE32-E72D297353CC}">
              <c16:uniqueId val="{00000001-557E-4AFE-B1B1-D4BEB151E383}"/>
            </c:ext>
          </c:extLst>
        </c:ser>
        <c:dLbls>
          <c:showLegendKey val="0"/>
          <c:showVal val="0"/>
          <c:showCatName val="0"/>
          <c:showSerName val="0"/>
          <c:showPercent val="0"/>
          <c:showBubbleSize val="0"/>
        </c:dLbls>
        <c:gapWidth val="150"/>
        <c:overlap val="100"/>
        <c:axId val="549470825"/>
        <c:axId val="1669978901"/>
      </c:barChart>
      <c:catAx>
        <c:axId val="549470825"/>
        <c:scaling>
          <c:orientation val="maxMin"/>
        </c:scaling>
        <c:delete val="0"/>
        <c:axPos val="l"/>
        <c:title>
          <c:tx>
            <c:rich>
              <a:bodyPr/>
              <a:lstStyle/>
              <a:p>
                <a:pPr lvl="0">
                  <a:defRPr b="0">
                    <a:solidFill>
                      <a:srgbClr val="000000"/>
                    </a:solidFill>
                    <a:latin typeface="+mn-lt"/>
                  </a:defRPr>
                </a:pPr>
                <a:r>
                  <a:rPr lang="en-AU" b="0">
                    <a:solidFill>
                      <a:srgbClr val="000000"/>
                    </a:solidFill>
                    <a:latin typeface="+mn-lt"/>
                  </a:rPr>
                  <a:t>Facility</a:t>
                </a:r>
              </a:p>
            </c:rich>
          </c:tx>
          <c:overlay val="0"/>
        </c:title>
        <c:numFmt formatCode="General" sourceLinked="1"/>
        <c:majorTickMark val="none"/>
        <c:minorTickMark val="none"/>
        <c:tickLblPos val="nextTo"/>
        <c:txPr>
          <a:bodyPr/>
          <a:lstStyle/>
          <a:p>
            <a:pPr lvl="0">
              <a:defRPr b="0">
                <a:solidFill>
                  <a:srgbClr val="000000"/>
                </a:solidFill>
                <a:latin typeface="+mn-lt"/>
              </a:defRPr>
            </a:pPr>
            <a:endParaRPr lang="en-US"/>
          </a:p>
        </c:txPr>
        <c:crossAx val="1669978901"/>
        <c:crosses val="autoZero"/>
        <c:auto val="1"/>
        <c:lblAlgn val="ctr"/>
        <c:lblOffset val="100"/>
        <c:noMultiLvlLbl val="1"/>
      </c:catAx>
      <c:valAx>
        <c:axId val="1669978901"/>
        <c:scaling>
          <c:orientation val="minMax"/>
        </c:scaling>
        <c:delete val="0"/>
        <c:axPos val="b"/>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lang="en-AU" b="0">
                    <a:solidFill>
                      <a:srgbClr val="000000"/>
                    </a:solidFill>
                    <a:latin typeface="+mn-lt"/>
                  </a:rPr>
                  <a:t>Run of Mine coal (million tonnes per annum)</a:t>
                </a:r>
              </a:p>
            </c:rich>
          </c:tx>
          <c:overlay val="0"/>
        </c:title>
        <c:numFmt formatCode="General" sourceLinked="1"/>
        <c:majorTickMark val="none"/>
        <c:minorTickMark val="none"/>
        <c:tickLblPos val="nextTo"/>
        <c:spPr>
          <a:ln/>
        </c:spPr>
        <c:txPr>
          <a:bodyPr/>
          <a:lstStyle/>
          <a:p>
            <a:pPr lvl="0">
              <a:defRPr b="0">
                <a:solidFill>
                  <a:srgbClr val="000000"/>
                </a:solidFill>
                <a:latin typeface="+mn-lt"/>
              </a:defRPr>
            </a:pPr>
            <a:endParaRPr lang="en-US"/>
          </a:p>
        </c:txPr>
        <c:crossAx val="549470825"/>
        <c:crosses val="max"/>
        <c:crossBetween val="between"/>
      </c:valAx>
    </c:plotArea>
    <c:legend>
      <c:legendPos val="r"/>
      <c:legendEntry>
        <c:idx val="0"/>
        <c:delete val="1"/>
      </c:legendEntry>
      <c:overlay val="0"/>
      <c:txPr>
        <a:bodyPr/>
        <a:lstStyle/>
        <a:p>
          <a:pPr lvl="0">
            <a:defRPr b="0">
              <a:solidFill>
                <a:srgbClr val="414042"/>
              </a:solidFill>
              <a:latin typeface="Arial"/>
            </a:defRPr>
          </a:pPr>
          <a:endParaRPr lang="en-US"/>
        </a:p>
      </c:txPr>
    </c:legend>
    <c:plotVisOnly val="1"/>
    <c:dispBlanksAs val="zero"/>
    <c:showDLblsOverMax val="1"/>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lvl="0">
              <a:defRPr b="0">
                <a:solidFill>
                  <a:srgbClr val="757575"/>
                </a:solidFill>
                <a:latin typeface="+mn-lt"/>
              </a:defRPr>
            </a:pPr>
            <a:r>
              <a:rPr lang="en-AU" b="0">
                <a:solidFill>
                  <a:srgbClr val="757575"/>
                </a:solidFill>
                <a:latin typeface="+mn-lt"/>
              </a:rPr>
              <a:t>Reported Safeguard emissions by activity</a:t>
            </a:r>
          </a:p>
        </c:rich>
      </c:tx>
      <c:overlay val="0"/>
    </c:title>
    <c:autoTitleDeleted val="0"/>
    <c:plotArea>
      <c:layout/>
      <c:barChart>
        <c:barDir val="bar"/>
        <c:grouping val="stacked"/>
        <c:varyColors val="1"/>
        <c:ser>
          <c:idx val="0"/>
          <c:order val="0"/>
          <c:tx>
            <c:v>2016-17</c:v>
          </c:tx>
          <c:spPr>
            <a:solidFill>
              <a:srgbClr val="C6E097"/>
            </a:solidFill>
            <a:ln cmpd="sng">
              <a:solidFill>
                <a:srgbClr val="000000"/>
              </a:solidFill>
            </a:ln>
          </c:spPr>
          <c:invertIfNegative val="1"/>
          <c:cat>
            <c:strRef>
              <c:f>'Figure 3 Emissions by activity'!$A$9:$A$187</c:f>
              <c:strCache>
                <c:ptCount val="179"/>
                <c:pt idx="0">
                  <c:v>Oil and Gas Extraction</c:v>
                </c:pt>
                <c:pt idx="1">
                  <c:v>Coal Mining</c:v>
                </c:pt>
                <c:pt idx="2">
                  <c:v>Alumina Production</c:v>
                </c:pt>
                <c:pt idx="3">
                  <c:v>Iron Smelting and Steel Manufacturing</c:v>
                </c:pt>
                <c:pt idx="4">
                  <c:v>Cement and Lime Manufacturing</c:v>
                </c:pt>
                <c:pt idx="5">
                  <c:v>Iron Ore Mining</c:v>
                </c:pt>
                <c:pt idx="6">
                  <c:v>Aircraft Manufacturing and Repair Services</c:v>
                </c:pt>
                <c:pt idx="7">
                  <c:v>Aluminium Smelting</c:v>
                </c:pt>
                <c:pt idx="8">
                  <c:v>Petroleum Refining and Petroleum Fuel Manufacturing</c:v>
                </c:pt>
                <c:pt idx="9">
                  <c:v>Rail Freight Transport</c:v>
                </c:pt>
                <c:pt idx="10">
                  <c:v>Fertiliser Manufacturing</c:v>
                </c:pt>
                <c:pt idx="11">
                  <c:v>Air and Space Transport</c:v>
                </c:pt>
                <c:pt idx="12">
                  <c:v>Explosive Manufacturing</c:v>
                </c:pt>
                <c:pt idx="13">
                  <c:v>Gas Supply</c:v>
                </c:pt>
                <c:pt idx="14">
                  <c:v>Gold Ore Mining</c:v>
                </c:pt>
                <c:pt idx="15">
                  <c:v>Port and Water Transport Terminal Operations</c:v>
                </c:pt>
                <c:pt idx="16">
                  <c:v>Basic Inorganic Chemical Manufacturing</c:v>
                </c:pt>
                <c:pt idx="17">
                  <c:v>Copper, Silver, Lead and Zinc Smelting and Refining</c:v>
                </c:pt>
                <c:pt idx="18">
                  <c:v>Nickel Ore Mining</c:v>
                </c:pt>
                <c:pt idx="19">
                  <c:v>Basic Organic Chemical Manufacturing</c:v>
                </c:pt>
                <c:pt idx="20">
                  <c:v>Road Freight Transport</c:v>
                </c:pt>
                <c:pt idx="21">
                  <c:v>Mineral Sand Mining</c:v>
                </c:pt>
                <c:pt idx="22">
                  <c:v>Other Basic Non-Ferrous Metal Manufacturing</c:v>
                </c:pt>
                <c:pt idx="23">
                  <c:v>Pulp, Paper and Paperboard Manufacturing</c:v>
                </c:pt>
                <c:pt idx="24">
                  <c:v>Bauxite Mining</c:v>
                </c:pt>
                <c:pt idx="25">
                  <c:v>Synthetic Resin and Synthetic Rubber Manufacturing</c:v>
                </c:pt>
                <c:pt idx="26">
                  <c:v>Other Food Product Manufacturing n.e.c.</c:v>
                </c:pt>
                <c:pt idx="27">
                  <c:v>Other Metal Ore Mining</c:v>
                </c:pt>
                <c:pt idx="28">
                  <c:v>Copper Ore Mining</c:v>
                </c:pt>
                <c:pt idx="29">
                  <c:v>Glass and Glass Product Manufacturing</c:v>
                </c:pt>
                <c:pt idx="30">
                  <c:v>Other Non-Metallic Mineral Product Manufacturing</c:v>
                </c:pt>
                <c:pt idx="31">
                  <c:v>Sewerage and Drainage Services</c:v>
                </c:pt>
                <c:pt idx="32">
                  <c:v>Water Passenger Transport</c:v>
                </c:pt>
                <c:pt idx="33">
                  <c:v>Silver-Lead-Zinc Ore Mining</c:v>
                </c:pt>
                <c:pt idx="34">
                  <c:v>Rail Passenger Transport</c:v>
                </c:pt>
                <c:pt idx="35">
                  <c:v>Water Freight Transport</c:v>
                </c:pt>
                <c:pt idx="36">
                  <c:v>Urban Bus Transport (Including Tramway)</c:v>
                </c:pt>
                <c:pt idx="37">
                  <c:v>Waste Treatment and Disposal Services</c:v>
                </c:pt>
                <c:pt idx="38">
                  <c:v>Iron and Steel Casting</c:v>
                </c:pt>
                <c:pt idx="39">
                  <c:v>Human Pharmaceutical and Medicinal Product Manufacturing</c:v>
                </c:pt>
                <c:pt idx="40">
                  <c:v>Accommodation</c:v>
                </c:pt>
                <c:pt idx="41">
                  <c:v>Adhesive Manufacturing</c:v>
                </c:pt>
                <c:pt idx="42">
                  <c:v>Airport Operations and Other Air Transport Support Services</c:v>
                </c:pt>
                <c:pt idx="43">
                  <c:v>Aluminium Rolling, Drawing, Extruding</c:v>
                </c:pt>
                <c:pt idx="44">
                  <c:v>Beef Cattle Farming (Specialised)</c:v>
                </c:pt>
                <c:pt idx="45">
                  <c:v>Beef Cattle Feedlots (Specialised)</c:v>
                </c:pt>
                <c:pt idx="46">
                  <c:v>Beer Manufacturing</c:v>
                </c:pt>
                <c:pt idx="47">
                  <c:v>Biscuit Manufacturing (Factory based)</c:v>
                </c:pt>
                <c:pt idx="48">
                  <c:v>Boatbuilding and Repair Services</c:v>
                </c:pt>
                <c:pt idx="49">
                  <c:v>Boiler, Tank and Other Heavy Gauge Metal Container Manufacturing</c:v>
                </c:pt>
                <c:pt idx="50">
                  <c:v>Bread Manufacturing (Factory based)</c:v>
                </c:pt>
                <c:pt idx="51">
                  <c:v>Cake and Pastry Manufacturing (Factory based)</c:v>
                </c:pt>
                <c:pt idx="52">
                  <c:v>Central Government Administration</c:v>
                </c:pt>
                <c:pt idx="53">
                  <c:v>Cereal, Pasta and Baking Mix Manufacturing</c:v>
                </c:pt>
                <c:pt idx="54">
                  <c:v>Cheese and Other Dairy Product Manufacturing</c:v>
                </c:pt>
                <c:pt idx="55">
                  <c:v>Cigarette and Tobacco Product Manufacturing</c:v>
                </c:pt>
                <c:pt idx="56">
                  <c:v>Clay Brick Manufacturing</c:v>
                </c:pt>
                <c:pt idx="57">
                  <c:v>Cleaning Compound Manufacturing</c:v>
                </c:pt>
                <c:pt idx="58">
                  <c:v>Clothing Manufacturing</c:v>
                </c:pt>
                <c:pt idx="59">
                  <c:v>Concrete Product Manufacturing</c:v>
                </c:pt>
                <c:pt idx="60">
                  <c:v>Concreting Services</c:v>
                </c:pt>
                <c:pt idx="61">
                  <c:v>Confectionery Manufacturing</c:v>
                </c:pt>
                <c:pt idx="62">
                  <c:v>Corrugated Paperboard and Paperboard Container Manufacturing</c:v>
                </c:pt>
                <c:pt idx="63">
                  <c:v>Cosmetic and Toiletry Preparation Manufacturing</c:v>
                </c:pt>
                <c:pt idx="64">
                  <c:v>Cured Meat and Smallgoods Manufacturing</c:v>
                </c:pt>
                <c:pt idx="65">
                  <c:v>Cut and Sewn Textile Product Manufacturing</c:v>
                </c:pt>
                <c:pt idx="66">
                  <c:v>Dairy Cattle Farming</c:v>
                </c:pt>
                <c:pt idx="67">
                  <c:v>Data Processing and Web Hosting Services</c:v>
                </c:pt>
                <c:pt idx="68">
                  <c:v>Defence</c:v>
                </c:pt>
                <c:pt idx="69">
                  <c:v>Electric Cable and Wire Manufacturing</c:v>
                </c:pt>
                <c:pt idx="70">
                  <c:v>Fixed Space Heating, Cooling and Ventilation Equipment Manufacturing</c:v>
                </c:pt>
                <c:pt idx="71">
                  <c:v>Fossil Fuel Electricity Generation</c:v>
                </c:pt>
                <c:pt idx="72">
                  <c:v>Fruit and Vegetable Processing</c:v>
                </c:pt>
                <c:pt idx="73">
                  <c:v>Funeral, Crematorium and Cemetery Services</c:v>
                </c:pt>
                <c:pt idx="74">
                  <c:v>Grain Mill Product Manufacturing</c:v>
                </c:pt>
                <c:pt idx="75">
                  <c:v>Grain Storage Services</c:v>
                </c:pt>
                <c:pt idx="76">
                  <c:v>Gravel and Sand Quarrying</c:v>
                </c:pt>
                <c:pt idx="77">
                  <c:v>Higher Education</c:v>
                </c:pt>
                <c:pt idx="78">
                  <c:v>Hospitals (Except Psychiatric Hospitals)</c:v>
                </c:pt>
                <c:pt idx="79">
                  <c:v>Hydro-Electricity Generation</c:v>
                </c:pt>
                <c:pt idx="80">
                  <c:v>Ice Cream Manufacturing</c:v>
                </c:pt>
                <c:pt idx="81">
                  <c:v>Industrial and Agricultural Chemical Product Wholesaling</c:v>
                </c:pt>
                <c:pt idx="82">
                  <c:v>Industrial Gas Manufacturing</c:v>
                </c:pt>
                <c:pt idx="83">
                  <c:v>Iron and Steel Forging</c:v>
                </c:pt>
                <c:pt idx="84">
                  <c:v>Jewellery and Silverware Manufacturing</c:v>
                </c:pt>
                <c:pt idx="85">
                  <c:v>Laundry and Dry-Cleaning Services</c:v>
                </c:pt>
                <c:pt idx="86">
                  <c:v>Leather Tanning, Fur Dressing and Leather Product Manufacturing</c:v>
                </c:pt>
                <c:pt idx="87">
                  <c:v>Log Sawmilling</c:v>
                </c:pt>
                <c:pt idx="88">
                  <c:v>Machine Tool and Parts Manufacturing</c:v>
                </c:pt>
                <c:pt idx="89">
                  <c:v>Meat Processing</c:v>
                </c:pt>
                <c:pt idx="90">
                  <c:v>Medical and Surgical Equipment Manufacturing</c:v>
                </c:pt>
                <c:pt idx="91">
                  <c:v>Metal Coating and Finishing</c:v>
                </c:pt>
                <c:pt idx="92">
                  <c:v>Milk and Cream Processing</c:v>
                </c:pt>
                <c:pt idx="93">
                  <c:v>Mineral Exploration</c:v>
                </c:pt>
                <c:pt idx="94">
                  <c:v>Mining and Construction Machinery Manufacturing</c:v>
                </c:pt>
                <c:pt idx="95">
                  <c:v>Motor Vehicle Manufacturing</c:v>
                </c:pt>
                <c:pt idx="96">
                  <c:v>Motor Vehicle New Parts Wholesaling</c:v>
                </c:pt>
                <c:pt idx="97">
                  <c:v>Natural Rubber Product Manufacturing</c:v>
                </c:pt>
                <c:pt idx="98">
                  <c:v>Natural Textile Manufacturing</c:v>
                </c:pt>
                <c:pt idx="99">
                  <c:v>Newspaper Publishing</c:v>
                </c:pt>
                <c:pt idx="100">
                  <c:v>Non-Ferrous Metal Casting</c:v>
                </c:pt>
                <c:pt idx="101">
                  <c:v>Nut, Bolt, Screw and Rivet Manufacturing</c:v>
                </c:pt>
                <c:pt idx="102">
                  <c:v>Office Administrative Services</c:v>
                </c:pt>
                <c:pt idx="103">
                  <c:v>Oil and Fat Manufacturing</c:v>
                </c:pt>
                <c:pt idx="104">
                  <c:v>Other Basic Chemical Product Manufacturing n.e.c.</c:v>
                </c:pt>
                <c:pt idx="105">
                  <c:v>Other Basic Non-Ferrous Metal Product Manufacturing</c:v>
                </c:pt>
                <c:pt idx="106">
                  <c:v>Other Basic Polymer Manufacturing</c:v>
                </c:pt>
                <c:pt idx="107">
                  <c:v>Other Ceramic Product Manufacturing</c:v>
                </c:pt>
                <c:pt idx="108">
                  <c:v>Other Construction Material Mining</c:v>
                </c:pt>
                <c:pt idx="109">
                  <c:v>Other Converted Paper Product Manufacturing</c:v>
                </c:pt>
                <c:pt idx="110">
                  <c:v>Other Electrical Equipment Manufacturing</c:v>
                </c:pt>
                <c:pt idx="111">
                  <c:v>Other Electricity Generation</c:v>
                </c:pt>
                <c:pt idx="112">
                  <c:v>Other Fabricated Metal Product Manufacturing n.e.c.</c:v>
                </c:pt>
                <c:pt idx="113">
                  <c:v>Other Manufacturing n.e.c.</c:v>
                </c:pt>
                <c:pt idx="114">
                  <c:v>Other Metal Container Manufacturing</c:v>
                </c:pt>
                <c:pt idx="115">
                  <c:v>Other Mining Support Services</c:v>
                </c:pt>
                <c:pt idx="116">
                  <c:v>Other Motor Vehicle Parts Manufacturing</c:v>
                </c:pt>
                <c:pt idx="117">
                  <c:v>Other Non-Metallic Mineral Mining and Quarrying</c:v>
                </c:pt>
                <c:pt idx="118">
                  <c:v>Other Petroleum and Coal Product Manufacturing</c:v>
                </c:pt>
                <c:pt idx="119">
                  <c:v>Other Polymer Product Manufacturing</c:v>
                </c:pt>
                <c:pt idx="120">
                  <c:v>Other Professional and Scientific Equipment Manufacturing</c:v>
                </c:pt>
                <c:pt idx="121">
                  <c:v>Other Specialised Machinery and Equipment Manufacturing</c:v>
                </c:pt>
                <c:pt idx="122">
                  <c:v>Other Structural Metal Product Manufacturing</c:v>
                </c:pt>
                <c:pt idx="123">
                  <c:v>Other Transport n.e.c.</c:v>
                </c:pt>
                <c:pt idx="124">
                  <c:v>Other Transport Support Services n.e.c.</c:v>
                </c:pt>
                <c:pt idx="125">
                  <c:v>Other Warehousing and Storage Services</c:v>
                </c:pt>
                <c:pt idx="126">
                  <c:v>Other Waste Collection Services</c:v>
                </c:pt>
                <c:pt idx="127">
                  <c:v>Other Wood Product Manufacturing n.e.c.</c:v>
                </c:pt>
                <c:pt idx="128">
                  <c:v>Packaging Services</c:v>
                </c:pt>
                <c:pt idx="129">
                  <c:v>Paint and Coatings Manufacturing</c:v>
                </c:pt>
                <c:pt idx="130">
                  <c:v>Paper Bag Manufacturing</c:v>
                </c:pt>
                <c:pt idx="131">
                  <c:v>Pesticide Manufacturing</c:v>
                </c:pt>
                <c:pt idx="132">
                  <c:v>Petroleum Exploration</c:v>
                </c:pt>
                <c:pt idx="133">
                  <c:v>Petroleum Product Wholesaling</c:v>
                </c:pt>
                <c:pt idx="134">
                  <c:v>Photographic, Optical and Ophthalmic Equipment Manufacturing</c:v>
                </c:pt>
                <c:pt idx="135">
                  <c:v>Pig Farming</c:v>
                </c:pt>
                <c:pt idx="136">
                  <c:v>Pipeline Transport</c:v>
                </c:pt>
                <c:pt idx="137">
                  <c:v>Plaster Product Manufacturing</c:v>
                </c:pt>
                <c:pt idx="138">
                  <c:v>Polymer Film and Sheet Packaging Material Manufacturing</c:v>
                </c:pt>
                <c:pt idx="139">
                  <c:v>Polymer Foam Product Manufacturing</c:v>
                </c:pt>
                <c:pt idx="140">
                  <c:v>Potato, Corn and Other Crisp Manufacturing</c:v>
                </c:pt>
                <c:pt idx="141">
                  <c:v>Poultry Farming (Eggs)</c:v>
                </c:pt>
                <c:pt idx="142">
                  <c:v>Poultry Farming (Meat)</c:v>
                </c:pt>
                <c:pt idx="143">
                  <c:v>Poultry Processing</c:v>
                </c:pt>
                <c:pt idx="144">
                  <c:v>Prepared Animal and Bird Feed Manufacturing</c:v>
                </c:pt>
                <c:pt idx="145">
                  <c:v>Printing</c:v>
                </c:pt>
                <c:pt idx="146">
                  <c:v>Printing Support Services</c:v>
                </c:pt>
                <c:pt idx="147">
                  <c:v>Railway Rolling Stock Manufacturing and Repair Services</c:v>
                </c:pt>
                <c:pt idx="148">
                  <c:v>Ready-Mixed Concrete Manufacturing</c:v>
                </c:pt>
                <c:pt idx="149">
                  <c:v>Reconstituted Wood Product Manufacturing</c:v>
                </c:pt>
                <c:pt idx="150">
                  <c:v>Rigid and Semi-Rigid Polymer Product Manufacturing</c:v>
                </c:pt>
                <c:pt idx="151">
                  <c:v>Scientific Research Services</c:v>
                </c:pt>
                <c:pt idx="152">
                  <c:v>Seafood Processing</c:v>
                </c:pt>
                <c:pt idx="153">
                  <c:v>Shipbuilding and Repair Services</c:v>
                </c:pt>
                <c:pt idx="154">
                  <c:v>Soft Drink, Cordial and Syrup Manufacturing</c:v>
                </c:pt>
                <c:pt idx="155">
                  <c:v>Solid Waste Collection Services</c:v>
                </c:pt>
                <c:pt idx="156">
                  <c:v>Spirit Manufacturing</c:v>
                </c:pt>
                <c:pt idx="157">
                  <c:v>Sports and Physical Recreation Venues, Grounds and Facilities Operation</c:v>
                </c:pt>
                <c:pt idx="158">
                  <c:v>Spring and Wire Product Manufacturing</c:v>
                </c:pt>
                <c:pt idx="159">
                  <c:v>Steel Pipe and Tube Manufacturing</c:v>
                </c:pt>
                <c:pt idx="160">
                  <c:v>Stevedoring Services</c:v>
                </c:pt>
                <c:pt idx="161">
                  <c:v>Structural Steel Fabricating</c:v>
                </c:pt>
                <c:pt idx="162">
                  <c:v>Sugar Manufacturing</c:v>
                </c:pt>
                <c:pt idx="163">
                  <c:v>Synthetic Textile Manufacturing</c:v>
                </c:pt>
                <c:pt idx="164">
                  <c:v>Textile Finishing and Other Textile Product Manufacturing</c:v>
                </c:pt>
                <c:pt idx="165">
                  <c:v>Textile Floor Covering Manufacturing</c:v>
                </c:pt>
                <c:pt idx="166">
                  <c:v>Timber Resawing and Dressing</c:v>
                </c:pt>
                <c:pt idx="167">
                  <c:v>Timber Wholesaling</c:v>
                </c:pt>
                <c:pt idx="168">
                  <c:v>Tyre Manufacturing</c:v>
                </c:pt>
                <c:pt idx="169">
                  <c:v>Veneer and Plywood Manufacturing</c:v>
                </c:pt>
                <c:pt idx="170">
                  <c:v>Veterinary Pharmaceutical and Medicinal Product Manufacturing</c:v>
                </c:pt>
                <c:pt idx="171">
                  <c:v>Waste Remediation and Materials Recovery Services</c:v>
                </c:pt>
                <c:pt idx="172">
                  <c:v>Water Supply</c:v>
                </c:pt>
                <c:pt idx="173">
                  <c:v>Whiteware Appliance Manufacturing</c:v>
                </c:pt>
                <c:pt idx="174">
                  <c:v>Wine and Other Alcoholic Beverage Manufacturing</c:v>
                </c:pt>
                <c:pt idx="175">
                  <c:v>Wood Chipping</c:v>
                </c:pt>
                <c:pt idx="176">
                  <c:v>Wooden Furniture and Upholstered Seat Manufacturing</c:v>
                </c:pt>
                <c:pt idx="177">
                  <c:v>Wooden Structural Fitting and Component Manufacturing</c:v>
                </c:pt>
                <c:pt idx="178">
                  <c:v>Wool Scouring</c:v>
                </c:pt>
              </c:strCache>
            </c:strRef>
          </c:cat>
          <c:val>
            <c:numRef>
              <c:f>'Figure 3 Emissions by activity'!$B$9:$B$187</c:f>
              <c:numCache>
                <c:formatCode>#,##0</c:formatCode>
                <c:ptCount val="179"/>
                <c:pt idx="0">
                  <c:v>33926949</c:v>
                </c:pt>
                <c:pt idx="1">
                  <c:v>31088231</c:v>
                </c:pt>
                <c:pt idx="2">
                  <c:v>13360550</c:v>
                </c:pt>
                <c:pt idx="3">
                  <c:v>9140102</c:v>
                </c:pt>
                <c:pt idx="4">
                  <c:v>5915379</c:v>
                </c:pt>
                <c:pt idx="5">
                  <c:v>3830333</c:v>
                </c:pt>
                <c:pt idx="6">
                  <c:v>4362435</c:v>
                </c:pt>
                <c:pt idx="7">
                  <c:v>2868331</c:v>
                </c:pt>
                <c:pt idx="8">
                  <c:v>3115290</c:v>
                </c:pt>
                <c:pt idx="9">
                  <c:v>2682827</c:v>
                </c:pt>
                <c:pt idx="10">
                  <c:v>1576267</c:v>
                </c:pt>
                <c:pt idx="11">
                  <c:v>2688811</c:v>
                </c:pt>
                <c:pt idx="12">
                  <c:v>1755342</c:v>
                </c:pt>
                <c:pt idx="13">
                  <c:v>1870370</c:v>
                </c:pt>
                <c:pt idx="14">
                  <c:v>1159359</c:v>
                </c:pt>
                <c:pt idx="15">
                  <c:v>1051543</c:v>
                </c:pt>
                <c:pt idx="16">
                  <c:v>476872</c:v>
                </c:pt>
                <c:pt idx="17">
                  <c:v>729941</c:v>
                </c:pt>
                <c:pt idx="18">
                  <c:v>613270</c:v>
                </c:pt>
                <c:pt idx="19">
                  <c:v>532039</c:v>
                </c:pt>
                <c:pt idx="20">
                  <c:v>474456</c:v>
                </c:pt>
                <c:pt idx="21">
                  <c:v>471381</c:v>
                </c:pt>
                <c:pt idx="22">
                  <c:v>427207</c:v>
                </c:pt>
                <c:pt idx="23">
                  <c:v>305789</c:v>
                </c:pt>
                <c:pt idx="24">
                  <c:v>358140</c:v>
                </c:pt>
                <c:pt idx="25">
                  <c:v>343208</c:v>
                </c:pt>
                <c:pt idx="26">
                  <c:v>249843</c:v>
                </c:pt>
                <c:pt idx="27">
                  <c:v>283978</c:v>
                </c:pt>
                <c:pt idx="28">
                  <c:v>276806</c:v>
                </c:pt>
                <c:pt idx="29">
                  <c:v>212986</c:v>
                </c:pt>
                <c:pt idx="30">
                  <c:v>152831</c:v>
                </c:pt>
                <c:pt idx="31">
                  <c:v>0</c:v>
                </c:pt>
                <c:pt idx="32">
                  <c:v>160099</c:v>
                </c:pt>
                <c:pt idx="33">
                  <c:v>0</c:v>
                </c:pt>
                <c:pt idx="34">
                  <c:v>112964</c:v>
                </c:pt>
                <c:pt idx="35">
                  <c:v>125661</c:v>
                </c:pt>
                <c:pt idx="36">
                  <c:v>167690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CC38-459F-A09B-4762A9080E0D}"/>
            </c:ext>
          </c:extLst>
        </c:ser>
        <c:ser>
          <c:idx val="1"/>
          <c:order val="1"/>
          <c:tx>
            <c:v>2017-18</c:v>
          </c:tx>
          <c:spPr>
            <a:solidFill>
              <a:srgbClr val="79B88D"/>
            </a:solidFill>
            <a:ln cmpd="sng">
              <a:solidFill>
                <a:srgbClr val="000000"/>
              </a:solidFill>
            </a:ln>
          </c:spPr>
          <c:invertIfNegative val="1"/>
          <c:cat>
            <c:strRef>
              <c:f>'Figure 3 Emissions by activity'!$A$9:$A$187</c:f>
              <c:strCache>
                <c:ptCount val="179"/>
                <c:pt idx="0">
                  <c:v>Oil and Gas Extraction</c:v>
                </c:pt>
                <c:pt idx="1">
                  <c:v>Coal Mining</c:v>
                </c:pt>
                <c:pt idx="2">
                  <c:v>Alumina Production</c:v>
                </c:pt>
                <c:pt idx="3">
                  <c:v>Iron Smelting and Steel Manufacturing</c:v>
                </c:pt>
                <c:pt idx="4">
                  <c:v>Cement and Lime Manufacturing</c:v>
                </c:pt>
                <c:pt idx="5">
                  <c:v>Iron Ore Mining</c:v>
                </c:pt>
                <c:pt idx="6">
                  <c:v>Aircraft Manufacturing and Repair Services</c:v>
                </c:pt>
                <c:pt idx="7">
                  <c:v>Aluminium Smelting</c:v>
                </c:pt>
                <c:pt idx="8">
                  <c:v>Petroleum Refining and Petroleum Fuel Manufacturing</c:v>
                </c:pt>
                <c:pt idx="9">
                  <c:v>Rail Freight Transport</c:v>
                </c:pt>
                <c:pt idx="10">
                  <c:v>Fertiliser Manufacturing</c:v>
                </c:pt>
                <c:pt idx="11">
                  <c:v>Air and Space Transport</c:v>
                </c:pt>
                <c:pt idx="12">
                  <c:v>Explosive Manufacturing</c:v>
                </c:pt>
                <c:pt idx="13">
                  <c:v>Gas Supply</c:v>
                </c:pt>
                <c:pt idx="14">
                  <c:v>Gold Ore Mining</c:v>
                </c:pt>
                <c:pt idx="15">
                  <c:v>Port and Water Transport Terminal Operations</c:v>
                </c:pt>
                <c:pt idx="16">
                  <c:v>Basic Inorganic Chemical Manufacturing</c:v>
                </c:pt>
                <c:pt idx="17">
                  <c:v>Copper, Silver, Lead and Zinc Smelting and Refining</c:v>
                </c:pt>
                <c:pt idx="18">
                  <c:v>Nickel Ore Mining</c:v>
                </c:pt>
                <c:pt idx="19">
                  <c:v>Basic Organic Chemical Manufacturing</c:v>
                </c:pt>
                <c:pt idx="20">
                  <c:v>Road Freight Transport</c:v>
                </c:pt>
                <c:pt idx="21">
                  <c:v>Mineral Sand Mining</c:v>
                </c:pt>
                <c:pt idx="22">
                  <c:v>Other Basic Non-Ferrous Metal Manufacturing</c:v>
                </c:pt>
                <c:pt idx="23">
                  <c:v>Pulp, Paper and Paperboard Manufacturing</c:v>
                </c:pt>
                <c:pt idx="24">
                  <c:v>Bauxite Mining</c:v>
                </c:pt>
                <c:pt idx="25">
                  <c:v>Synthetic Resin and Synthetic Rubber Manufacturing</c:v>
                </c:pt>
                <c:pt idx="26">
                  <c:v>Other Food Product Manufacturing n.e.c.</c:v>
                </c:pt>
                <c:pt idx="27">
                  <c:v>Other Metal Ore Mining</c:v>
                </c:pt>
                <c:pt idx="28">
                  <c:v>Copper Ore Mining</c:v>
                </c:pt>
                <c:pt idx="29">
                  <c:v>Glass and Glass Product Manufacturing</c:v>
                </c:pt>
                <c:pt idx="30">
                  <c:v>Other Non-Metallic Mineral Product Manufacturing</c:v>
                </c:pt>
                <c:pt idx="31">
                  <c:v>Sewerage and Drainage Services</c:v>
                </c:pt>
                <c:pt idx="32">
                  <c:v>Water Passenger Transport</c:v>
                </c:pt>
                <c:pt idx="33">
                  <c:v>Silver-Lead-Zinc Ore Mining</c:v>
                </c:pt>
                <c:pt idx="34">
                  <c:v>Rail Passenger Transport</c:v>
                </c:pt>
                <c:pt idx="35">
                  <c:v>Water Freight Transport</c:v>
                </c:pt>
                <c:pt idx="36">
                  <c:v>Urban Bus Transport (Including Tramway)</c:v>
                </c:pt>
                <c:pt idx="37">
                  <c:v>Waste Treatment and Disposal Services</c:v>
                </c:pt>
                <c:pt idx="38">
                  <c:v>Iron and Steel Casting</c:v>
                </c:pt>
                <c:pt idx="39">
                  <c:v>Human Pharmaceutical and Medicinal Product Manufacturing</c:v>
                </c:pt>
                <c:pt idx="40">
                  <c:v>Accommodation</c:v>
                </c:pt>
                <c:pt idx="41">
                  <c:v>Adhesive Manufacturing</c:v>
                </c:pt>
                <c:pt idx="42">
                  <c:v>Airport Operations and Other Air Transport Support Services</c:v>
                </c:pt>
                <c:pt idx="43">
                  <c:v>Aluminium Rolling, Drawing, Extruding</c:v>
                </c:pt>
                <c:pt idx="44">
                  <c:v>Beef Cattle Farming (Specialised)</c:v>
                </c:pt>
                <c:pt idx="45">
                  <c:v>Beef Cattle Feedlots (Specialised)</c:v>
                </c:pt>
                <c:pt idx="46">
                  <c:v>Beer Manufacturing</c:v>
                </c:pt>
                <c:pt idx="47">
                  <c:v>Biscuit Manufacturing (Factory based)</c:v>
                </c:pt>
                <c:pt idx="48">
                  <c:v>Boatbuilding and Repair Services</c:v>
                </c:pt>
                <c:pt idx="49">
                  <c:v>Boiler, Tank and Other Heavy Gauge Metal Container Manufacturing</c:v>
                </c:pt>
                <c:pt idx="50">
                  <c:v>Bread Manufacturing (Factory based)</c:v>
                </c:pt>
                <c:pt idx="51">
                  <c:v>Cake and Pastry Manufacturing (Factory based)</c:v>
                </c:pt>
                <c:pt idx="52">
                  <c:v>Central Government Administration</c:v>
                </c:pt>
                <c:pt idx="53">
                  <c:v>Cereal, Pasta and Baking Mix Manufacturing</c:v>
                </c:pt>
                <c:pt idx="54">
                  <c:v>Cheese and Other Dairy Product Manufacturing</c:v>
                </c:pt>
                <c:pt idx="55">
                  <c:v>Cigarette and Tobacco Product Manufacturing</c:v>
                </c:pt>
                <c:pt idx="56">
                  <c:v>Clay Brick Manufacturing</c:v>
                </c:pt>
                <c:pt idx="57">
                  <c:v>Cleaning Compound Manufacturing</c:v>
                </c:pt>
                <c:pt idx="58">
                  <c:v>Clothing Manufacturing</c:v>
                </c:pt>
                <c:pt idx="59">
                  <c:v>Concrete Product Manufacturing</c:v>
                </c:pt>
                <c:pt idx="60">
                  <c:v>Concreting Services</c:v>
                </c:pt>
                <c:pt idx="61">
                  <c:v>Confectionery Manufacturing</c:v>
                </c:pt>
                <c:pt idx="62">
                  <c:v>Corrugated Paperboard and Paperboard Container Manufacturing</c:v>
                </c:pt>
                <c:pt idx="63">
                  <c:v>Cosmetic and Toiletry Preparation Manufacturing</c:v>
                </c:pt>
                <c:pt idx="64">
                  <c:v>Cured Meat and Smallgoods Manufacturing</c:v>
                </c:pt>
                <c:pt idx="65">
                  <c:v>Cut and Sewn Textile Product Manufacturing</c:v>
                </c:pt>
                <c:pt idx="66">
                  <c:v>Dairy Cattle Farming</c:v>
                </c:pt>
                <c:pt idx="67">
                  <c:v>Data Processing and Web Hosting Services</c:v>
                </c:pt>
                <c:pt idx="68">
                  <c:v>Defence</c:v>
                </c:pt>
                <c:pt idx="69">
                  <c:v>Electric Cable and Wire Manufacturing</c:v>
                </c:pt>
                <c:pt idx="70">
                  <c:v>Fixed Space Heating, Cooling and Ventilation Equipment Manufacturing</c:v>
                </c:pt>
                <c:pt idx="71">
                  <c:v>Fossil Fuel Electricity Generation</c:v>
                </c:pt>
                <c:pt idx="72">
                  <c:v>Fruit and Vegetable Processing</c:v>
                </c:pt>
                <c:pt idx="73">
                  <c:v>Funeral, Crematorium and Cemetery Services</c:v>
                </c:pt>
                <c:pt idx="74">
                  <c:v>Grain Mill Product Manufacturing</c:v>
                </c:pt>
                <c:pt idx="75">
                  <c:v>Grain Storage Services</c:v>
                </c:pt>
                <c:pt idx="76">
                  <c:v>Gravel and Sand Quarrying</c:v>
                </c:pt>
                <c:pt idx="77">
                  <c:v>Higher Education</c:v>
                </c:pt>
                <c:pt idx="78">
                  <c:v>Hospitals (Except Psychiatric Hospitals)</c:v>
                </c:pt>
                <c:pt idx="79">
                  <c:v>Hydro-Electricity Generation</c:v>
                </c:pt>
                <c:pt idx="80">
                  <c:v>Ice Cream Manufacturing</c:v>
                </c:pt>
                <c:pt idx="81">
                  <c:v>Industrial and Agricultural Chemical Product Wholesaling</c:v>
                </c:pt>
                <c:pt idx="82">
                  <c:v>Industrial Gas Manufacturing</c:v>
                </c:pt>
                <c:pt idx="83">
                  <c:v>Iron and Steel Forging</c:v>
                </c:pt>
                <c:pt idx="84">
                  <c:v>Jewellery and Silverware Manufacturing</c:v>
                </c:pt>
                <c:pt idx="85">
                  <c:v>Laundry and Dry-Cleaning Services</c:v>
                </c:pt>
                <c:pt idx="86">
                  <c:v>Leather Tanning, Fur Dressing and Leather Product Manufacturing</c:v>
                </c:pt>
                <c:pt idx="87">
                  <c:v>Log Sawmilling</c:v>
                </c:pt>
                <c:pt idx="88">
                  <c:v>Machine Tool and Parts Manufacturing</c:v>
                </c:pt>
                <c:pt idx="89">
                  <c:v>Meat Processing</c:v>
                </c:pt>
                <c:pt idx="90">
                  <c:v>Medical and Surgical Equipment Manufacturing</c:v>
                </c:pt>
                <c:pt idx="91">
                  <c:v>Metal Coating and Finishing</c:v>
                </c:pt>
                <c:pt idx="92">
                  <c:v>Milk and Cream Processing</c:v>
                </c:pt>
                <c:pt idx="93">
                  <c:v>Mineral Exploration</c:v>
                </c:pt>
                <c:pt idx="94">
                  <c:v>Mining and Construction Machinery Manufacturing</c:v>
                </c:pt>
                <c:pt idx="95">
                  <c:v>Motor Vehicle Manufacturing</c:v>
                </c:pt>
                <c:pt idx="96">
                  <c:v>Motor Vehicle New Parts Wholesaling</c:v>
                </c:pt>
                <c:pt idx="97">
                  <c:v>Natural Rubber Product Manufacturing</c:v>
                </c:pt>
                <c:pt idx="98">
                  <c:v>Natural Textile Manufacturing</c:v>
                </c:pt>
                <c:pt idx="99">
                  <c:v>Newspaper Publishing</c:v>
                </c:pt>
                <c:pt idx="100">
                  <c:v>Non-Ferrous Metal Casting</c:v>
                </c:pt>
                <c:pt idx="101">
                  <c:v>Nut, Bolt, Screw and Rivet Manufacturing</c:v>
                </c:pt>
                <c:pt idx="102">
                  <c:v>Office Administrative Services</c:v>
                </c:pt>
                <c:pt idx="103">
                  <c:v>Oil and Fat Manufacturing</c:v>
                </c:pt>
                <c:pt idx="104">
                  <c:v>Other Basic Chemical Product Manufacturing n.e.c.</c:v>
                </c:pt>
                <c:pt idx="105">
                  <c:v>Other Basic Non-Ferrous Metal Product Manufacturing</c:v>
                </c:pt>
                <c:pt idx="106">
                  <c:v>Other Basic Polymer Manufacturing</c:v>
                </c:pt>
                <c:pt idx="107">
                  <c:v>Other Ceramic Product Manufacturing</c:v>
                </c:pt>
                <c:pt idx="108">
                  <c:v>Other Construction Material Mining</c:v>
                </c:pt>
                <c:pt idx="109">
                  <c:v>Other Converted Paper Product Manufacturing</c:v>
                </c:pt>
                <c:pt idx="110">
                  <c:v>Other Electrical Equipment Manufacturing</c:v>
                </c:pt>
                <c:pt idx="111">
                  <c:v>Other Electricity Generation</c:v>
                </c:pt>
                <c:pt idx="112">
                  <c:v>Other Fabricated Metal Product Manufacturing n.e.c.</c:v>
                </c:pt>
                <c:pt idx="113">
                  <c:v>Other Manufacturing n.e.c.</c:v>
                </c:pt>
                <c:pt idx="114">
                  <c:v>Other Metal Container Manufacturing</c:v>
                </c:pt>
                <c:pt idx="115">
                  <c:v>Other Mining Support Services</c:v>
                </c:pt>
                <c:pt idx="116">
                  <c:v>Other Motor Vehicle Parts Manufacturing</c:v>
                </c:pt>
                <c:pt idx="117">
                  <c:v>Other Non-Metallic Mineral Mining and Quarrying</c:v>
                </c:pt>
                <c:pt idx="118">
                  <c:v>Other Petroleum and Coal Product Manufacturing</c:v>
                </c:pt>
                <c:pt idx="119">
                  <c:v>Other Polymer Product Manufacturing</c:v>
                </c:pt>
                <c:pt idx="120">
                  <c:v>Other Professional and Scientific Equipment Manufacturing</c:v>
                </c:pt>
                <c:pt idx="121">
                  <c:v>Other Specialised Machinery and Equipment Manufacturing</c:v>
                </c:pt>
                <c:pt idx="122">
                  <c:v>Other Structural Metal Product Manufacturing</c:v>
                </c:pt>
                <c:pt idx="123">
                  <c:v>Other Transport n.e.c.</c:v>
                </c:pt>
                <c:pt idx="124">
                  <c:v>Other Transport Support Services n.e.c.</c:v>
                </c:pt>
                <c:pt idx="125">
                  <c:v>Other Warehousing and Storage Services</c:v>
                </c:pt>
                <c:pt idx="126">
                  <c:v>Other Waste Collection Services</c:v>
                </c:pt>
                <c:pt idx="127">
                  <c:v>Other Wood Product Manufacturing n.e.c.</c:v>
                </c:pt>
                <c:pt idx="128">
                  <c:v>Packaging Services</c:v>
                </c:pt>
                <c:pt idx="129">
                  <c:v>Paint and Coatings Manufacturing</c:v>
                </c:pt>
                <c:pt idx="130">
                  <c:v>Paper Bag Manufacturing</c:v>
                </c:pt>
                <c:pt idx="131">
                  <c:v>Pesticide Manufacturing</c:v>
                </c:pt>
                <c:pt idx="132">
                  <c:v>Petroleum Exploration</c:v>
                </c:pt>
                <c:pt idx="133">
                  <c:v>Petroleum Product Wholesaling</c:v>
                </c:pt>
                <c:pt idx="134">
                  <c:v>Photographic, Optical and Ophthalmic Equipment Manufacturing</c:v>
                </c:pt>
                <c:pt idx="135">
                  <c:v>Pig Farming</c:v>
                </c:pt>
                <c:pt idx="136">
                  <c:v>Pipeline Transport</c:v>
                </c:pt>
                <c:pt idx="137">
                  <c:v>Plaster Product Manufacturing</c:v>
                </c:pt>
                <c:pt idx="138">
                  <c:v>Polymer Film and Sheet Packaging Material Manufacturing</c:v>
                </c:pt>
                <c:pt idx="139">
                  <c:v>Polymer Foam Product Manufacturing</c:v>
                </c:pt>
                <c:pt idx="140">
                  <c:v>Potato, Corn and Other Crisp Manufacturing</c:v>
                </c:pt>
                <c:pt idx="141">
                  <c:v>Poultry Farming (Eggs)</c:v>
                </c:pt>
                <c:pt idx="142">
                  <c:v>Poultry Farming (Meat)</c:v>
                </c:pt>
                <c:pt idx="143">
                  <c:v>Poultry Processing</c:v>
                </c:pt>
                <c:pt idx="144">
                  <c:v>Prepared Animal and Bird Feed Manufacturing</c:v>
                </c:pt>
                <c:pt idx="145">
                  <c:v>Printing</c:v>
                </c:pt>
                <c:pt idx="146">
                  <c:v>Printing Support Services</c:v>
                </c:pt>
                <c:pt idx="147">
                  <c:v>Railway Rolling Stock Manufacturing and Repair Services</c:v>
                </c:pt>
                <c:pt idx="148">
                  <c:v>Ready-Mixed Concrete Manufacturing</c:v>
                </c:pt>
                <c:pt idx="149">
                  <c:v>Reconstituted Wood Product Manufacturing</c:v>
                </c:pt>
                <c:pt idx="150">
                  <c:v>Rigid and Semi-Rigid Polymer Product Manufacturing</c:v>
                </c:pt>
                <c:pt idx="151">
                  <c:v>Scientific Research Services</c:v>
                </c:pt>
                <c:pt idx="152">
                  <c:v>Seafood Processing</c:v>
                </c:pt>
                <c:pt idx="153">
                  <c:v>Shipbuilding and Repair Services</c:v>
                </c:pt>
                <c:pt idx="154">
                  <c:v>Soft Drink, Cordial and Syrup Manufacturing</c:v>
                </c:pt>
                <c:pt idx="155">
                  <c:v>Solid Waste Collection Services</c:v>
                </c:pt>
                <c:pt idx="156">
                  <c:v>Spirit Manufacturing</c:v>
                </c:pt>
                <c:pt idx="157">
                  <c:v>Sports and Physical Recreation Venues, Grounds and Facilities Operation</c:v>
                </c:pt>
                <c:pt idx="158">
                  <c:v>Spring and Wire Product Manufacturing</c:v>
                </c:pt>
                <c:pt idx="159">
                  <c:v>Steel Pipe and Tube Manufacturing</c:v>
                </c:pt>
                <c:pt idx="160">
                  <c:v>Stevedoring Services</c:v>
                </c:pt>
                <c:pt idx="161">
                  <c:v>Structural Steel Fabricating</c:v>
                </c:pt>
                <c:pt idx="162">
                  <c:v>Sugar Manufacturing</c:v>
                </c:pt>
                <c:pt idx="163">
                  <c:v>Synthetic Textile Manufacturing</c:v>
                </c:pt>
                <c:pt idx="164">
                  <c:v>Textile Finishing and Other Textile Product Manufacturing</c:v>
                </c:pt>
                <c:pt idx="165">
                  <c:v>Textile Floor Covering Manufacturing</c:v>
                </c:pt>
                <c:pt idx="166">
                  <c:v>Timber Resawing and Dressing</c:v>
                </c:pt>
                <c:pt idx="167">
                  <c:v>Timber Wholesaling</c:v>
                </c:pt>
                <c:pt idx="168">
                  <c:v>Tyre Manufacturing</c:v>
                </c:pt>
                <c:pt idx="169">
                  <c:v>Veneer and Plywood Manufacturing</c:v>
                </c:pt>
                <c:pt idx="170">
                  <c:v>Veterinary Pharmaceutical and Medicinal Product Manufacturing</c:v>
                </c:pt>
                <c:pt idx="171">
                  <c:v>Waste Remediation and Materials Recovery Services</c:v>
                </c:pt>
                <c:pt idx="172">
                  <c:v>Water Supply</c:v>
                </c:pt>
                <c:pt idx="173">
                  <c:v>Whiteware Appliance Manufacturing</c:v>
                </c:pt>
                <c:pt idx="174">
                  <c:v>Wine and Other Alcoholic Beverage Manufacturing</c:v>
                </c:pt>
                <c:pt idx="175">
                  <c:v>Wood Chipping</c:v>
                </c:pt>
                <c:pt idx="176">
                  <c:v>Wooden Furniture and Upholstered Seat Manufacturing</c:v>
                </c:pt>
                <c:pt idx="177">
                  <c:v>Wooden Structural Fitting and Component Manufacturing</c:v>
                </c:pt>
                <c:pt idx="178">
                  <c:v>Wool Scouring</c:v>
                </c:pt>
              </c:strCache>
            </c:strRef>
          </c:cat>
          <c:val>
            <c:numRef>
              <c:f>'Figure 3 Emissions by activity'!$C$9:$C$187</c:f>
              <c:numCache>
                <c:formatCode>#,##0</c:formatCode>
                <c:ptCount val="179"/>
                <c:pt idx="0">
                  <c:v>38218720</c:v>
                </c:pt>
                <c:pt idx="1">
                  <c:v>32878179</c:v>
                </c:pt>
                <c:pt idx="2">
                  <c:v>13373915</c:v>
                </c:pt>
                <c:pt idx="3">
                  <c:v>9320326</c:v>
                </c:pt>
                <c:pt idx="4">
                  <c:v>5839916</c:v>
                </c:pt>
                <c:pt idx="5">
                  <c:v>4000228</c:v>
                </c:pt>
                <c:pt idx="6">
                  <c:v>4315195</c:v>
                </c:pt>
                <c:pt idx="7">
                  <c:v>3014014</c:v>
                </c:pt>
                <c:pt idx="8">
                  <c:v>3224906</c:v>
                </c:pt>
                <c:pt idx="9">
                  <c:v>2748953</c:v>
                </c:pt>
                <c:pt idx="10">
                  <c:v>3007494</c:v>
                </c:pt>
                <c:pt idx="11">
                  <c:v>2695280</c:v>
                </c:pt>
                <c:pt idx="12">
                  <c:v>1986729</c:v>
                </c:pt>
                <c:pt idx="13">
                  <c:v>1702266</c:v>
                </c:pt>
                <c:pt idx="14">
                  <c:v>1210564</c:v>
                </c:pt>
                <c:pt idx="15">
                  <c:v>1179835</c:v>
                </c:pt>
                <c:pt idx="16">
                  <c:v>672534</c:v>
                </c:pt>
                <c:pt idx="17">
                  <c:v>663963</c:v>
                </c:pt>
                <c:pt idx="18">
                  <c:v>513365</c:v>
                </c:pt>
                <c:pt idx="19">
                  <c:v>487413</c:v>
                </c:pt>
                <c:pt idx="20">
                  <c:v>466752</c:v>
                </c:pt>
                <c:pt idx="21">
                  <c:v>495382</c:v>
                </c:pt>
                <c:pt idx="22">
                  <c:v>427890</c:v>
                </c:pt>
                <c:pt idx="23">
                  <c:v>302183</c:v>
                </c:pt>
                <c:pt idx="24">
                  <c:v>383133</c:v>
                </c:pt>
                <c:pt idx="25">
                  <c:v>361163</c:v>
                </c:pt>
                <c:pt idx="26">
                  <c:v>274498</c:v>
                </c:pt>
                <c:pt idx="27">
                  <c:v>303574</c:v>
                </c:pt>
                <c:pt idx="28">
                  <c:v>178079</c:v>
                </c:pt>
                <c:pt idx="29">
                  <c:v>229530</c:v>
                </c:pt>
                <c:pt idx="30">
                  <c:v>225256</c:v>
                </c:pt>
                <c:pt idx="31">
                  <c:v>209680</c:v>
                </c:pt>
                <c:pt idx="32">
                  <c:v>162876</c:v>
                </c:pt>
                <c:pt idx="33">
                  <c:v>0</c:v>
                </c:pt>
                <c:pt idx="34">
                  <c:v>121409</c:v>
                </c:pt>
                <c:pt idx="35">
                  <c:v>119029</c:v>
                </c:pt>
                <c:pt idx="36">
                  <c:v>141046</c:v>
                </c:pt>
                <c:pt idx="37">
                  <c:v>0</c:v>
                </c:pt>
                <c:pt idx="38">
                  <c:v>110812</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1-CC38-459F-A09B-4762A9080E0D}"/>
            </c:ext>
          </c:extLst>
        </c:ser>
        <c:ser>
          <c:idx val="2"/>
          <c:order val="2"/>
          <c:tx>
            <c:v>2018-19</c:v>
          </c:tx>
          <c:spPr>
            <a:solidFill>
              <a:srgbClr val="37AD68"/>
            </a:solidFill>
            <a:ln cmpd="sng">
              <a:solidFill>
                <a:srgbClr val="000000"/>
              </a:solidFill>
            </a:ln>
          </c:spPr>
          <c:invertIfNegative val="1"/>
          <c:cat>
            <c:strRef>
              <c:f>'Figure 3 Emissions by activity'!$A$9:$A$187</c:f>
              <c:strCache>
                <c:ptCount val="179"/>
                <c:pt idx="0">
                  <c:v>Oil and Gas Extraction</c:v>
                </c:pt>
                <c:pt idx="1">
                  <c:v>Coal Mining</c:v>
                </c:pt>
                <c:pt idx="2">
                  <c:v>Alumina Production</c:v>
                </c:pt>
                <c:pt idx="3">
                  <c:v>Iron Smelting and Steel Manufacturing</c:v>
                </c:pt>
                <c:pt idx="4">
                  <c:v>Cement and Lime Manufacturing</c:v>
                </c:pt>
                <c:pt idx="5">
                  <c:v>Iron Ore Mining</c:v>
                </c:pt>
                <c:pt idx="6">
                  <c:v>Aircraft Manufacturing and Repair Services</c:v>
                </c:pt>
                <c:pt idx="7">
                  <c:v>Aluminium Smelting</c:v>
                </c:pt>
                <c:pt idx="8">
                  <c:v>Petroleum Refining and Petroleum Fuel Manufacturing</c:v>
                </c:pt>
                <c:pt idx="9">
                  <c:v>Rail Freight Transport</c:v>
                </c:pt>
                <c:pt idx="10">
                  <c:v>Fertiliser Manufacturing</c:v>
                </c:pt>
                <c:pt idx="11">
                  <c:v>Air and Space Transport</c:v>
                </c:pt>
                <c:pt idx="12">
                  <c:v>Explosive Manufacturing</c:v>
                </c:pt>
                <c:pt idx="13">
                  <c:v>Gas Supply</c:v>
                </c:pt>
                <c:pt idx="14">
                  <c:v>Gold Ore Mining</c:v>
                </c:pt>
                <c:pt idx="15">
                  <c:v>Port and Water Transport Terminal Operations</c:v>
                </c:pt>
                <c:pt idx="16">
                  <c:v>Basic Inorganic Chemical Manufacturing</c:v>
                </c:pt>
                <c:pt idx="17">
                  <c:v>Copper, Silver, Lead and Zinc Smelting and Refining</c:v>
                </c:pt>
                <c:pt idx="18">
                  <c:v>Nickel Ore Mining</c:v>
                </c:pt>
                <c:pt idx="19">
                  <c:v>Basic Organic Chemical Manufacturing</c:v>
                </c:pt>
                <c:pt idx="20">
                  <c:v>Road Freight Transport</c:v>
                </c:pt>
                <c:pt idx="21">
                  <c:v>Mineral Sand Mining</c:v>
                </c:pt>
                <c:pt idx="22">
                  <c:v>Other Basic Non-Ferrous Metal Manufacturing</c:v>
                </c:pt>
                <c:pt idx="23">
                  <c:v>Pulp, Paper and Paperboard Manufacturing</c:v>
                </c:pt>
                <c:pt idx="24">
                  <c:v>Bauxite Mining</c:v>
                </c:pt>
                <c:pt idx="25">
                  <c:v>Synthetic Resin and Synthetic Rubber Manufacturing</c:v>
                </c:pt>
                <c:pt idx="26">
                  <c:v>Other Food Product Manufacturing n.e.c.</c:v>
                </c:pt>
                <c:pt idx="27">
                  <c:v>Other Metal Ore Mining</c:v>
                </c:pt>
                <c:pt idx="28">
                  <c:v>Copper Ore Mining</c:v>
                </c:pt>
                <c:pt idx="29">
                  <c:v>Glass and Glass Product Manufacturing</c:v>
                </c:pt>
                <c:pt idx="30">
                  <c:v>Other Non-Metallic Mineral Product Manufacturing</c:v>
                </c:pt>
                <c:pt idx="31">
                  <c:v>Sewerage and Drainage Services</c:v>
                </c:pt>
                <c:pt idx="32">
                  <c:v>Water Passenger Transport</c:v>
                </c:pt>
                <c:pt idx="33">
                  <c:v>Silver-Lead-Zinc Ore Mining</c:v>
                </c:pt>
                <c:pt idx="34">
                  <c:v>Rail Passenger Transport</c:v>
                </c:pt>
                <c:pt idx="35">
                  <c:v>Water Freight Transport</c:v>
                </c:pt>
                <c:pt idx="36">
                  <c:v>Urban Bus Transport (Including Tramway)</c:v>
                </c:pt>
                <c:pt idx="37">
                  <c:v>Waste Treatment and Disposal Services</c:v>
                </c:pt>
                <c:pt idx="38">
                  <c:v>Iron and Steel Casting</c:v>
                </c:pt>
                <c:pt idx="39">
                  <c:v>Human Pharmaceutical and Medicinal Product Manufacturing</c:v>
                </c:pt>
                <c:pt idx="40">
                  <c:v>Accommodation</c:v>
                </c:pt>
                <c:pt idx="41">
                  <c:v>Adhesive Manufacturing</c:v>
                </c:pt>
                <c:pt idx="42">
                  <c:v>Airport Operations and Other Air Transport Support Services</c:v>
                </c:pt>
                <c:pt idx="43">
                  <c:v>Aluminium Rolling, Drawing, Extruding</c:v>
                </c:pt>
                <c:pt idx="44">
                  <c:v>Beef Cattle Farming (Specialised)</c:v>
                </c:pt>
                <c:pt idx="45">
                  <c:v>Beef Cattle Feedlots (Specialised)</c:v>
                </c:pt>
                <c:pt idx="46">
                  <c:v>Beer Manufacturing</c:v>
                </c:pt>
                <c:pt idx="47">
                  <c:v>Biscuit Manufacturing (Factory based)</c:v>
                </c:pt>
                <c:pt idx="48">
                  <c:v>Boatbuilding and Repair Services</c:v>
                </c:pt>
                <c:pt idx="49">
                  <c:v>Boiler, Tank and Other Heavy Gauge Metal Container Manufacturing</c:v>
                </c:pt>
                <c:pt idx="50">
                  <c:v>Bread Manufacturing (Factory based)</c:v>
                </c:pt>
                <c:pt idx="51">
                  <c:v>Cake and Pastry Manufacturing (Factory based)</c:v>
                </c:pt>
                <c:pt idx="52">
                  <c:v>Central Government Administration</c:v>
                </c:pt>
                <c:pt idx="53">
                  <c:v>Cereal, Pasta and Baking Mix Manufacturing</c:v>
                </c:pt>
                <c:pt idx="54">
                  <c:v>Cheese and Other Dairy Product Manufacturing</c:v>
                </c:pt>
                <c:pt idx="55">
                  <c:v>Cigarette and Tobacco Product Manufacturing</c:v>
                </c:pt>
                <c:pt idx="56">
                  <c:v>Clay Brick Manufacturing</c:v>
                </c:pt>
                <c:pt idx="57">
                  <c:v>Cleaning Compound Manufacturing</c:v>
                </c:pt>
                <c:pt idx="58">
                  <c:v>Clothing Manufacturing</c:v>
                </c:pt>
                <c:pt idx="59">
                  <c:v>Concrete Product Manufacturing</c:v>
                </c:pt>
                <c:pt idx="60">
                  <c:v>Concreting Services</c:v>
                </c:pt>
                <c:pt idx="61">
                  <c:v>Confectionery Manufacturing</c:v>
                </c:pt>
                <c:pt idx="62">
                  <c:v>Corrugated Paperboard and Paperboard Container Manufacturing</c:v>
                </c:pt>
                <c:pt idx="63">
                  <c:v>Cosmetic and Toiletry Preparation Manufacturing</c:v>
                </c:pt>
                <c:pt idx="64">
                  <c:v>Cured Meat and Smallgoods Manufacturing</c:v>
                </c:pt>
                <c:pt idx="65">
                  <c:v>Cut and Sewn Textile Product Manufacturing</c:v>
                </c:pt>
                <c:pt idx="66">
                  <c:v>Dairy Cattle Farming</c:v>
                </c:pt>
                <c:pt idx="67">
                  <c:v>Data Processing and Web Hosting Services</c:v>
                </c:pt>
                <c:pt idx="68">
                  <c:v>Defence</c:v>
                </c:pt>
                <c:pt idx="69">
                  <c:v>Electric Cable and Wire Manufacturing</c:v>
                </c:pt>
                <c:pt idx="70">
                  <c:v>Fixed Space Heating, Cooling and Ventilation Equipment Manufacturing</c:v>
                </c:pt>
                <c:pt idx="71">
                  <c:v>Fossil Fuel Electricity Generation</c:v>
                </c:pt>
                <c:pt idx="72">
                  <c:v>Fruit and Vegetable Processing</c:v>
                </c:pt>
                <c:pt idx="73">
                  <c:v>Funeral, Crematorium and Cemetery Services</c:v>
                </c:pt>
                <c:pt idx="74">
                  <c:v>Grain Mill Product Manufacturing</c:v>
                </c:pt>
                <c:pt idx="75">
                  <c:v>Grain Storage Services</c:v>
                </c:pt>
                <c:pt idx="76">
                  <c:v>Gravel and Sand Quarrying</c:v>
                </c:pt>
                <c:pt idx="77">
                  <c:v>Higher Education</c:v>
                </c:pt>
                <c:pt idx="78">
                  <c:v>Hospitals (Except Psychiatric Hospitals)</c:v>
                </c:pt>
                <c:pt idx="79">
                  <c:v>Hydro-Electricity Generation</c:v>
                </c:pt>
                <c:pt idx="80">
                  <c:v>Ice Cream Manufacturing</c:v>
                </c:pt>
                <c:pt idx="81">
                  <c:v>Industrial and Agricultural Chemical Product Wholesaling</c:v>
                </c:pt>
                <c:pt idx="82">
                  <c:v>Industrial Gas Manufacturing</c:v>
                </c:pt>
                <c:pt idx="83">
                  <c:v>Iron and Steel Forging</c:v>
                </c:pt>
                <c:pt idx="84">
                  <c:v>Jewellery and Silverware Manufacturing</c:v>
                </c:pt>
                <c:pt idx="85">
                  <c:v>Laundry and Dry-Cleaning Services</c:v>
                </c:pt>
                <c:pt idx="86">
                  <c:v>Leather Tanning, Fur Dressing and Leather Product Manufacturing</c:v>
                </c:pt>
                <c:pt idx="87">
                  <c:v>Log Sawmilling</c:v>
                </c:pt>
                <c:pt idx="88">
                  <c:v>Machine Tool and Parts Manufacturing</c:v>
                </c:pt>
                <c:pt idx="89">
                  <c:v>Meat Processing</c:v>
                </c:pt>
                <c:pt idx="90">
                  <c:v>Medical and Surgical Equipment Manufacturing</c:v>
                </c:pt>
                <c:pt idx="91">
                  <c:v>Metal Coating and Finishing</c:v>
                </c:pt>
                <c:pt idx="92">
                  <c:v>Milk and Cream Processing</c:v>
                </c:pt>
                <c:pt idx="93">
                  <c:v>Mineral Exploration</c:v>
                </c:pt>
                <c:pt idx="94">
                  <c:v>Mining and Construction Machinery Manufacturing</c:v>
                </c:pt>
                <c:pt idx="95">
                  <c:v>Motor Vehicle Manufacturing</c:v>
                </c:pt>
                <c:pt idx="96">
                  <c:v>Motor Vehicle New Parts Wholesaling</c:v>
                </c:pt>
                <c:pt idx="97">
                  <c:v>Natural Rubber Product Manufacturing</c:v>
                </c:pt>
                <c:pt idx="98">
                  <c:v>Natural Textile Manufacturing</c:v>
                </c:pt>
                <c:pt idx="99">
                  <c:v>Newspaper Publishing</c:v>
                </c:pt>
                <c:pt idx="100">
                  <c:v>Non-Ferrous Metal Casting</c:v>
                </c:pt>
                <c:pt idx="101">
                  <c:v>Nut, Bolt, Screw and Rivet Manufacturing</c:v>
                </c:pt>
                <c:pt idx="102">
                  <c:v>Office Administrative Services</c:v>
                </c:pt>
                <c:pt idx="103">
                  <c:v>Oil and Fat Manufacturing</c:v>
                </c:pt>
                <c:pt idx="104">
                  <c:v>Other Basic Chemical Product Manufacturing n.e.c.</c:v>
                </c:pt>
                <c:pt idx="105">
                  <c:v>Other Basic Non-Ferrous Metal Product Manufacturing</c:v>
                </c:pt>
                <c:pt idx="106">
                  <c:v>Other Basic Polymer Manufacturing</c:v>
                </c:pt>
                <c:pt idx="107">
                  <c:v>Other Ceramic Product Manufacturing</c:v>
                </c:pt>
                <c:pt idx="108">
                  <c:v>Other Construction Material Mining</c:v>
                </c:pt>
                <c:pt idx="109">
                  <c:v>Other Converted Paper Product Manufacturing</c:v>
                </c:pt>
                <c:pt idx="110">
                  <c:v>Other Electrical Equipment Manufacturing</c:v>
                </c:pt>
                <c:pt idx="111">
                  <c:v>Other Electricity Generation</c:v>
                </c:pt>
                <c:pt idx="112">
                  <c:v>Other Fabricated Metal Product Manufacturing n.e.c.</c:v>
                </c:pt>
                <c:pt idx="113">
                  <c:v>Other Manufacturing n.e.c.</c:v>
                </c:pt>
                <c:pt idx="114">
                  <c:v>Other Metal Container Manufacturing</c:v>
                </c:pt>
                <c:pt idx="115">
                  <c:v>Other Mining Support Services</c:v>
                </c:pt>
                <c:pt idx="116">
                  <c:v>Other Motor Vehicle Parts Manufacturing</c:v>
                </c:pt>
                <c:pt idx="117">
                  <c:v>Other Non-Metallic Mineral Mining and Quarrying</c:v>
                </c:pt>
                <c:pt idx="118">
                  <c:v>Other Petroleum and Coal Product Manufacturing</c:v>
                </c:pt>
                <c:pt idx="119">
                  <c:v>Other Polymer Product Manufacturing</c:v>
                </c:pt>
                <c:pt idx="120">
                  <c:v>Other Professional and Scientific Equipment Manufacturing</c:v>
                </c:pt>
                <c:pt idx="121">
                  <c:v>Other Specialised Machinery and Equipment Manufacturing</c:v>
                </c:pt>
                <c:pt idx="122">
                  <c:v>Other Structural Metal Product Manufacturing</c:v>
                </c:pt>
                <c:pt idx="123">
                  <c:v>Other Transport n.e.c.</c:v>
                </c:pt>
                <c:pt idx="124">
                  <c:v>Other Transport Support Services n.e.c.</c:v>
                </c:pt>
                <c:pt idx="125">
                  <c:v>Other Warehousing and Storage Services</c:v>
                </c:pt>
                <c:pt idx="126">
                  <c:v>Other Waste Collection Services</c:v>
                </c:pt>
                <c:pt idx="127">
                  <c:v>Other Wood Product Manufacturing n.e.c.</c:v>
                </c:pt>
                <c:pt idx="128">
                  <c:v>Packaging Services</c:v>
                </c:pt>
                <c:pt idx="129">
                  <c:v>Paint and Coatings Manufacturing</c:v>
                </c:pt>
                <c:pt idx="130">
                  <c:v>Paper Bag Manufacturing</c:v>
                </c:pt>
                <c:pt idx="131">
                  <c:v>Pesticide Manufacturing</c:v>
                </c:pt>
                <c:pt idx="132">
                  <c:v>Petroleum Exploration</c:v>
                </c:pt>
                <c:pt idx="133">
                  <c:v>Petroleum Product Wholesaling</c:v>
                </c:pt>
                <c:pt idx="134">
                  <c:v>Photographic, Optical and Ophthalmic Equipment Manufacturing</c:v>
                </c:pt>
                <c:pt idx="135">
                  <c:v>Pig Farming</c:v>
                </c:pt>
                <c:pt idx="136">
                  <c:v>Pipeline Transport</c:v>
                </c:pt>
                <c:pt idx="137">
                  <c:v>Plaster Product Manufacturing</c:v>
                </c:pt>
                <c:pt idx="138">
                  <c:v>Polymer Film and Sheet Packaging Material Manufacturing</c:v>
                </c:pt>
                <c:pt idx="139">
                  <c:v>Polymer Foam Product Manufacturing</c:v>
                </c:pt>
                <c:pt idx="140">
                  <c:v>Potato, Corn and Other Crisp Manufacturing</c:v>
                </c:pt>
                <c:pt idx="141">
                  <c:v>Poultry Farming (Eggs)</c:v>
                </c:pt>
                <c:pt idx="142">
                  <c:v>Poultry Farming (Meat)</c:v>
                </c:pt>
                <c:pt idx="143">
                  <c:v>Poultry Processing</c:v>
                </c:pt>
                <c:pt idx="144">
                  <c:v>Prepared Animal and Bird Feed Manufacturing</c:v>
                </c:pt>
                <c:pt idx="145">
                  <c:v>Printing</c:v>
                </c:pt>
                <c:pt idx="146">
                  <c:v>Printing Support Services</c:v>
                </c:pt>
                <c:pt idx="147">
                  <c:v>Railway Rolling Stock Manufacturing and Repair Services</c:v>
                </c:pt>
                <c:pt idx="148">
                  <c:v>Ready-Mixed Concrete Manufacturing</c:v>
                </c:pt>
                <c:pt idx="149">
                  <c:v>Reconstituted Wood Product Manufacturing</c:v>
                </c:pt>
                <c:pt idx="150">
                  <c:v>Rigid and Semi-Rigid Polymer Product Manufacturing</c:v>
                </c:pt>
                <c:pt idx="151">
                  <c:v>Scientific Research Services</c:v>
                </c:pt>
                <c:pt idx="152">
                  <c:v>Seafood Processing</c:v>
                </c:pt>
                <c:pt idx="153">
                  <c:v>Shipbuilding and Repair Services</c:v>
                </c:pt>
                <c:pt idx="154">
                  <c:v>Soft Drink, Cordial and Syrup Manufacturing</c:v>
                </c:pt>
                <c:pt idx="155">
                  <c:v>Solid Waste Collection Services</c:v>
                </c:pt>
                <c:pt idx="156">
                  <c:v>Spirit Manufacturing</c:v>
                </c:pt>
                <c:pt idx="157">
                  <c:v>Sports and Physical Recreation Venues, Grounds and Facilities Operation</c:v>
                </c:pt>
                <c:pt idx="158">
                  <c:v>Spring and Wire Product Manufacturing</c:v>
                </c:pt>
                <c:pt idx="159">
                  <c:v>Steel Pipe and Tube Manufacturing</c:v>
                </c:pt>
                <c:pt idx="160">
                  <c:v>Stevedoring Services</c:v>
                </c:pt>
                <c:pt idx="161">
                  <c:v>Structural Steel Fabricating</c:v>
                </c:pt>
                <c:pt idx="162">
                  <c:v>Sugar Manufacturing</c:v>
                </c:pt>
                <c:pt idx="163">
                  <c:v>Synthetic Textile Manufacturing</c:v>
                </c:pt>
                <c:pt idx="164">
                  <c:v>Textile Finishing and Other Textile Product Manufacturing</c:v>
                </c:pt>
                <c:pt idx="165">
                  <c:v>Textile Floor Covering Manufacturing</c:v>
                </c:pt>
                <c:pt idx="166">
                  <c:v>Timber Resawing and Dressing</c:v>
                </c:pt>
                <c:pt idx="167">
                  <c:v>Timber Wholesaling</c:v>
                </c:pt>
                <c:pt idx="168">
                  <c:v>Tyre Manufacturing</c:v>
                </c:pt>
                <c:pt idx="169">
                  <c:v>Veneer and Plywood Manufacturing</c:v>
                </c:pt>
                <c:pt idx="170">
                  <c:v>Veterinary Pharmaceutical and Medicinal Product Manufacturing</c:v>
                </c:pt>
                <c:pt idx="171">
                  <c:v>Waste Remediation and Materials Recovery Services</c:v>
                </c:pt>
                <c:pt idx="172">
                  <c:v>Water Supply</c:v>
                </c:pt>
                <c:pt idx="173">
                  <c:v>Whiteware Appliance Manufacturing</c:v>
                </c:pt>
                <c:pt idx="174">
                  <c:v>Wine and Other Alcoholic Beverage Manufacturing</c:v>
                </c:pt>
                <c:pt idx="175">
                  <c:v>Wood Chipping</c:v>
                </c:pt>
                <c:pt idx="176">
                  <c:v>Wooden Furniture and Upholstered Seat Manufacturing</c:v>
                </c:pt>
                <c:pt idx="177">
                  <c:v>Wooden Structural Fitting and Component Manufacturing</c:v>
                </c:pt>
                <c:pt idx="178">
                  <c:v>Wool Scouring</c:v>
                </c:pt>
              </c:strCache>
            </c:strRef>
          </c:cat>
          <c:val>
            <c:numRef>
              <c:f>'Figure 3 Emissions by activity'!$D$9:$D$187</c:f>
              <c:numCache>
                <c:formatCode>#,##0</c:formatCode>
                <c:ptCount val="179"/>
                <c:pt idx="0">
                  <c:v>46082666</c:v>
                </c:pt>
                <c:pt idx="1">
                  <c:v>31183831</c:v>
                </c:pt>
                <c:pt idx="2">
                  <c:v>13078959</c:v>
                </c:pt>
                <c:pt idx="3">
                  <c:v>9142032</c:v>
                </c:pt>
                <c:pt idx="4">
                  <c:v>5905079</c:v>
                </c:pt>
                <c:pt idx="5">
                  <c:v>4366244</c:v>
                </c:pt>
                <c:pt idx="6">
                  <c:v>4289414</c:v>
                </c:pt>
                <c:pt idx="7">
                  <c:v>3079728</c:v>
                </c:pt>
                <c:pt idx="8">
                  <c:v>3197232</c:v>
                </c:pt>
                <c:pt idx="9">
                  <c:v>2703446</c:v>
                </c:pt>
                <c:pt idx="10">
                  <c:v>2502069</c:v>
                </c:pt>
                <c:pt idx="11">
                  <c:v>2597936</c:v>
                </c:pt>
                <c:pt idx="12">
                  <c:v>2231734</c:v>
                </c:pt>
                <c:pt idx="13">
                  <c:v>1636291</c:v>
                </c:pt>
                <c:pt idx="14">
                  <c:v>1180036</c:v>
                </c:pt>
                <c:pt idx="15">
                  <c:v>1256525</c:v>
                </c:pt>
                <c:pt idx="16">
                  <c:v>816823</c:v>
                </c:pt>
                <c:pt idx="17">
                  <c:v>760170</c:v>
                </c:pt>
                <c:pt idx="18">
                  <c:v>502006</c:v>
                </c:pt>
                <c:pt idx="19">
                  <c:v>468729</c:v>
                </c:pt>
                <c:pt idx="20">
                  <c:v>496343</c:v>
                </c:pt>
                <c:pt idx="21">
                  <c:v>471013</c:v>
                </c:pt>
                <c:pt idx="22">
                  <c:v>431251</c:v>
                </c:pt>
                <c:pt idx="23">
                  <c:v>290251</c:v>
                </c:pt>
                <c:pt idx="24">
                  <c:v>324441</c:v>
                </c:pt>
                <c:pt idx="25">
                  <c:v>358979</c:v>
                </c:pt>
                <c:pt idx="26">
                  <c:v>299291</c:v>
                </c:pt>
                <c:pt idx="27">
                  <c:v>313873</c:v>
                </c:pt>
                <c:pt idx="28">
                  <c:v>203158</c:v>
                </c:pt>
                <c:pt idx="29">
                  <c:v>225163</c:v>
                </c:pt>
                <c:pt idx="30">
                  <c:v>286573</c:v>
                </c:pt>
                <c:pt idx="31">
                  <c:v>201368</c:v>
                </c:pt>
                <c:pt idx="32">
                  <c:v>165032</c:v>
                </c:pt>
                <c:pt idx="33">
                  <c:v>127085</c:v>
                </c:pt>
                <c:pt idx="34">
                  <c:v>129126</c:v>
                </c:pt>
                <c:pt idx="35">
                  <c:v>107997</c:v>
                </c:pt>
                <c:pt idx="36">
                  <c:v>112221</c:v>
                </c:pt>
                <c:pt idx="37">
                  <c:v>113404</c:v>
                </c:pt>
                <c:pt idx="38">
                  <c:v>113575</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2-CC38-459F-A09B-4762A9080E0D}"/>
            </c:ext>
          </c:extLst>
        </c:ser>
        <c:ser>
          <c:idx val="3"/>
          <c:order val="3"/>
          <c:tx>
            <c:v>2019-20</c:v>
          </c:tx>
          <c:spPr>
            <a:solidFill>
              <a:srgbClr val="00B398"/>
            </a:solidFill>
            <a:ln cmpd="sng">
              <a:solidFill>
                <a:srgbClr val="000000"/>
              </a:solidFill>
            </a:ln>
          </c:spPr>
          <c:invertIfNegative val="1"/>
          <c:cat>
            <c:strRef>
              <c:f>'Figure 3 Emissions by activity'!$A$9:$A$187</c:f>
              <c:strCache>
                <c:ptCount val="179"/>
                <c:pt idx="0">
                  <c:v>Oil and Gas Extraction</c:v>
                </c:pt>
                <c:pt idx="1">
                  <c:v>Coal Mining</c:v>
                </c:pt>
                <c:pt idx="2">
                  <c:v>Alumina Production</c:v>
                </c:pt>
                <c:pt idx="3">
                  <c:v>Iron Smelting and Steel Manufacturing</c:v>
                </c:pt>
                <c:pt idx="4">
                  <c:v>Cement and Lime Manufacturing</c:v>
                </c:pt>
                <c:pt idx="5">
                  <c:v>Iron Ore Mining</c:v>
                </c:pt>
                <c:pt idx="6">
                  <c:v>Aircraft Manufacturing and Repair Services</c:v>
                </c:pt>
                <c:pt idx="7">
                  <c:v>Aluminium Smelting</c:v>
                </c:pt>
                <c:pt idx="8">
                  <c:v>Petroleum Refining and Petroleum Fuel Manufacturing</c:v>
                </c:pt>
                <c:pt idx="9">
                  <c:v>Rail Freight Transport</c:v>
                </c:pt>
                <c:pt idx="10">
                  <c:v>Fertiliser Manufacturing</c:v>
                </c:pt>
                <c:pt idx="11">
                  <c:v>Air and Space Transport</c:v>
                </c:pt>
                <c:pt idx="12">
                  <c:v>Explosive Manufacturing</c:v>
                </c:pt>
                <c:pt idx="13">
                  <c:v>Gas Supply</c:v>
                </c:pt>
                <c:pt idx="14">
                  <c:v>Gold Ore Mining</c:v>
                </c:pt>
                <c:pt idx="15">
                  <c:v>Port and Water Transport Terminal Operations</c:v>
                </c:pt>
                <c:pt idx="16">
                  <c:v>Basic Inorganic Chemical Manufacturing</c:v>
                </c:pt>
                <c:pt idx="17">
                  <c:v>Copper, Silver, Lead and Zinc Smelting and Refining</c:v>
                </c:pt>
                <c:pt idx="18">
                  <c:v>Nickel Ore Mining</c:v>
                </c:pt>
                <c:pt idx="19">
                  <c:v>Basic Organic Chemical Manufacturing</c:v>
                </c:pt>
                <c:pt idx="20">
                  <c:v>Road Freight Transport</c:v>
                </c:pt>
                <c:pt idx="21">
                  <c:v>Mineral Sand Mining</c:v>
                </c:pt>
                <c:pt idx="22">
                  <c:v>Other Basic Non-Ferrous Metal Manufacturing</c:v>
                </c:pt>
                <c:pt idx="23">
                  <c:v>Pulp, Paper and Paperboard Manufacturing</c:v>
                </c:pt>
                <c:pt idx="24">
                  <c:v>Bauxite Mining</c:v>
                </c:pt>
                <c:pt idx="25">
                  <c:v>Synthetic Resin and Synthetic Rubber Manufacturing</c:v>
                </c:pt>
                <c:pt idx="26">
                  <c:v>Other Food Product Manufacturing n.e.c.</c:v>
                </c:pt>
                <c:pt idx="27">
                  <c:v>Other Metal Ore Mining</c:v>
                </c:pt>
                <c:pt idx="28">
                  <c:v>Copper Ore Mining</c:v>
                </c:pt>
                <c:pt idx="29">
                  <c:v>Glass and Glass Product Manufacturing</c:v>
                </c:pt>
                <c:pt idx="30">
                  <c:v>Other Non-Metallic Mineral Product Manufacturing</c:v>
                </c:pt>
                <c:pt idx="31">
                  <c:v>Sewerage and Drainage Services</c:v>
                </c:pt>
                <c:pt idx="32">
                  <c:v>Water Passenger Transport</c:v>
                </c:pt>
                <c:pt idx="33">
                  <c:v>Silver-Lead-Zinc Ore Mining</c:v>
                </c:pt>
                <c:pt idx="34">
                  <c:v>Rail Passenger Transport</c:v>
                </c:pt>
                <c:pt idx="35">
                  <c:v>Water Freight Transport</c:v>
                </c:pt>
                <c:pt idx="36">
                  <c:v>Urban Bus Transport (Including Tramway)</c:v>
                </c:pt>
                <c:pt idx="37">
                  <c:v>Waste Treatment and Disposal Services</c:v>
                </c:pt>
                <c:pt idx="38">
                  <c:v>Iron and Steel Casting</c:v>
                </c:pt>
                <c:pt idx="39">
                  <c:v>Human Pharmaceutical and Medicinal Product Manufacturing</c:v>
                </c:pt>
                <c:pt idx="40">
                  <c:v>Accommodation</c:v>
                </c:pt>
                <c:pt idx="41">
                  <c:v>Adhesive Manufacturing</c:v>
                </c:pt>
                <c:pt idx="42">
                  <c:v>Airport Operations and Other Air Transport Support Services</c:v>
                </c:pt>
                <c:pt idx="43">
                  <c:v>Aluminium Rolling, Drawing, Extruding</c:v>
                </c:pt>
                <c:pt idx="44">
                  <c:v>Beef Cattle Farming (Specialised)</c:v>
                </c:pt>
                <c:pt idx="45">
                  <c:v>Beef Cattle Feedlots (Specialised)</c:v>
                </c:pt>
                <c:pt idx="46">
                  <c:v>Beer Manufacturing</c:v>
                </c:pt>
                <c:pt idx="47">
                  <c:v>Biscuit Manufacturing (Factory based)</c:v>
                </c:pt>
                <c:pt idx="48">
                  <c:v>Boatbuilding and Repair Services</c:v>
                </c:pt>
                <c:pt idx="49">
                  <c:v>Boiler, Tank and Other Heavy Gauge Metal Container Manufacturing</c:v>
                </c:pt>
                <c:pt idx="50">
                  <c:v>Bread Manufacturing (Factory based)</c:v>
                </c:pt>
                <c:pt idx="51">
                  <c:v>Cake and Pastry Manufacturing (Factory based)</c:v>
                </c:pt>
                <c:pt idx="52">
                  <c:v>Central Government Administration</c:v>
                </c:pt>
                <c:pt idx="53">
                  <c:v>Cereal, Pasta and Baking Mix Manufacturing</c:v>
                </c:pt>
                <c:pt idx="54">
                  <c:v>Cheese and Other Dairy Product Manufacturing</c:v>
                </c:pt>
                <c:pt idx="55">
                  <c:v>Cigarette and Tobacco Product Manufacturing</c:v>
                </c:pt>
                <c:pt idx="56">
                  <c:v>Clay Brick Manufacturing</c:v>
                </c:pt>
                <c:pt idx="57">
                  <c:v>Cleaning Compound Manufacturing</c:v>
                </c:pt>
                <c:pt idx="58">
                  <c:v>Clothing Manufacturing</c:v>
                </c:pt>
                <c:pt idx="59">
                  <c:v>Concrete Product Manufacturing</c:v>
                </c:pt>
                <c:pt idx="60">
                  <c:v>Concreting Services</c:v>
                </c:pt>
                <c:pt idx="61">
                  <c:v>Confectionery Manufacturing</c:v>
                </c:pt>
                <c:pt idx="62">
                  <c:v>Corrugated Paperboard and Paperboard Container Manufacturing</c:v>
                </c:pt>
                <c:pt idx="63">
                  <c:v>Cosmetic and Toiletry Preparation Manufacturing</c:v>
                </c:pt>
                <c:pt idx="64">
                  <c:v>Cured Meat and Smallgoods Manufacturing</c:v>
                </c:pt>
                <c:pt idx="65">
                  <c:v>Cut and Sewn Textile Product Manufacturing</c:v>
                </c:pt>
                <c:pt idx="66">
                  <c:v>Dairy Cattle Farming</c:v>
                </c:pt>
                <c:pt idx="67">
                  <c:v>Data Processing and Web Hosting Services</c:v>
                </c:pt>
                <c:pt idx="68">
                  <c:v>Defence</c:v>
                </c:pt>
                <c:pt idx="69">
                  <c:v>Electric Cable and Wire Manufacturing</c:v>
                </c:pt>
                <c:pt idx="70">
                  <c:v>Fixed Space Heating, Cooling and Ventilation Equipment Manufacturing</c:v>
                </c:pt>
                <c:pt idx="71">
                  <c:v>Fossil Fuel Electricity Generation</c:v>
                </c:pt>
                <c:pt idx="72">
                  <c:v>Fruit and Vegetable Processing</c:v>
                </c:pt>
                <c:pt idx="73">
                  <c:v>Funeral, Crematorium and Cemetery Services</c:v>
                </c:pt>
                <c:pt idx="74">
                  <c:v>Grain Mill Product Manufacturing</c:v>
                </c:pt>
                <c:pt idx="75">
                  <c:v>Grain Storage Services</c:v>
                </c:pt>
                <c:pt idx="76">
                  <c:v>Gravel and Sand Quarrying</c:v>
                </c:pt>
                <c:pt idx="77">
                  <c:v>Higher Education</c:v>
                </c:pt>
                <c:pt idx="78">
                  <c:v>Hospitals (Except Psychiatric Hospitals)</c:v>
                </c:pt>
                <c:pt idx="79">
                  <c:v>Hydro-Electricity Generation</c:v>
                </c:pt>
                <c:pt idx="80">
                  <c:v>Ice Cream Manufacturing</c:v>
                </c:pt>
                <c:pt idx="81">
                  <c:v>Industrial and Agricultural Chemical Product Wholesaling</c:v>
                </c:pt>
                <c:pt idx="82">
                  <c:v>Industrial Gas Manufacturing</c:v>
                </c:pt>
                <c:pt idx="83">
                  <c:v>Iron and Steel Forging</c:v>
                </c:pt>
                <c:pt idx="84">
                  <c:v>Jewellery and Silverware Manufacturing</c:v>
                </c:pt>
                <c:pt idx="85">
                  <c:v>Laundry and Dry-Cleaning Services</c:v>
                </c:pt>
                <c:pt idx="86">
                  <c:v>Leather Tanning, Fur Dressing and Leather Product Manufacturing</c:v>
                </c:pt>
                <c:pt idx="87">
                  <c:v>Log Sawmilling</c:v>
                </c:pt>
                <c:pt idx="88">
                  <c:v>Machine Tool and Parts Manufacturing</c:v>
                </c:pt>
                <c:pt idx="89">
                  <c:v>Meat Processing</c:v>
                </c:pt>
                <c:pt idx="90">
                  <c:v>Medical and Surgical Equipment Manufacturing</c:v>
                </c:pt>
                <c:pt idx="91">
                  <c:v>Metal Coating and Finishing</c:v>
                </c:pt>
                <c:pt idx="92">
                  <c:v>Milk and Cream Processing</c:v>
                </c:pt>
                <c:pt idx="93">
                  <c:v>Mineral Exploration</c:v>
                </c:pt>
                <c:pt idx="94">
                  <c:v>Mining and Construction Machinery Manufacturing</c:v>
                </c:pt>
                <c:pt idx="95">
                  <c:v>Motor Vehicle Manufacturing</c:v>
                </c:pt>
                <c:pt idx="96">
                  <c:v>Motor Vehicle New Parts Wholesaling</c:v>
                </c:pt>
                <c:pt idx="97">
                  <c:v>Natural Rubber Product Manufacturing</c:v>
                </c:pt>
                <c:pt idx="98">
                  <c:v>Natural Textile Manufacturing</c:v>
                </c:pt>
                <c:pt idx="99">
                  <c:v>Newspaper Publishing</c:v>
                </c:pt>
                <c:pt idx="100">
                  <c:v>Non-Ferrous Metal Casting</c:v>
                </c:pt>
                <c:pt idx="101">
                  <c:v>Nut, Bolt, Screw and Rivet Manufacturing</c:v>
                </c:pt>
                <c:pt idx="102">
                  <c:v>Office Administrative Services</c:v>
                </c:pt>
                <c:pt idx="103">
                  <c:v>Oil and Fat Manufacturing</c:v>
                </c:pt>
                <c:pt idx="104">
                  <c:v>Other Basic Chemical Product Manufacturing n.e.c.</c:v>
                </c:pt>
                <c:pt idx="105">
                  <c:v>Other Basic Non-Ferrous Metal Product Manufacturing</c:v>
                </c:pt>
                <c:pt idx="106">
                  <c:v>Other Basic Polymer Manufacturing</c:v>
                </c:pt>
                <c:pt idx="107">
                  <c:v>Other Ceramic Product Manufacturing</c:v>
                </c:pt>
                <c:pt idx="108">
                  <c:v>Other Construction Material Mining</c:v>
                </c:pt>
                <c:pt idx="109">
                  <c:v>Other Converted Paper Product Manufacturing</c:v>
                </c:pt>
                <c:pt idx="110">
                  <c:v>Other Electrical Equipment Manufacturing</c:v>
                </c:pt>
                <c:pt idx="111">
                  <c:v>Other Electricity Generation</c:v>
                </c:pt>
                <c:pt idx="112">
                  <c:v>Other Fabricated Metal Product Manufacturing n.e.c.</c:v>
                </c:pt>
                <c:pt idx="113">
                  <c:v>Other Manufacturing n.e.c.</c:v>
                </c:pt>
                <c:pt idx="114">
                  <c:v>Other Metal Container Manufacturing</c:v>
                </c:pt>
                <c:pt idx="115">
                  <c:v>Other Mining Support Services</c:v>
                </c:pt>
                <c:pt idx="116">
                  <c:v>Other Motor Vehicle Parts Manufacturing</c:v>
                </c:pt>
                <c:pt idx="117">
                  <c:v>Other Non-Metallic Mineral Mining and Quarrying</c:v>
                </c:pt>
                <c:pt idx="118">
                  <c:v>Other Petroleum and Coal Product Manufacturing</c:v>
                </c:pt>
                <c:pt idx="119">
                  <c:v>Other Polymer Product Manufacturing</c:v>
                </c:pt>
                <c:pt idx="120">
                  <c:v>Other Professional and Scientific Equipment Manufacturing</c:v>
                </c:pt>
                <c:pt idx="121">
                  <c:v>Other Specialised Machinery and Equipment Manufacturing</c:v>
                </c:pt>
                <c:pt idx="122">
                  <c:v>Other Structural Metal Product Manufacturing</c:v>
                </c:pt>
                <c:pt idx="123">
                  <c:v>Other Transport n.e.c.</c:v>
                </c:pt>
                <c:pt idx="124">
                  <c:v>Other Transport Support Services n.e.c.</c:v>
                </c:pt>
                <c:pt idx="125">
                  <c:v>Other Warehousing and Storage Services</c:v>
                </c:pt>
                <c:pt idx="126">
                  <c:v>Other Waste Collection Services</c:v>
                </c:pt>
                <c:pt idx="127">
                  <c:v>Other Wood Product Manufacturing n.e.c.</c:v>
                </c:pt>
                <c:pt idx="128">
                  <c:v>Packaging Services</c:v>
                </c:pt>
                <c:pt idx="129">
                  <c:v>Paint and Coatings Manufacturing</c:v>
                </c:pt>
                <c:pt idx="130">
                  <c:v>Paper Bag Manufacturing</c:v>
                </c:pt>
                <c:pt idx="131">
                  <c:v>Pesticide Manufacturing</c:v>
                </c:pt>
                <c:pt idx="132">
                  <c:v>Petroleum Exploration</c:v>
                </c:pt>
                <c:pt idx="133">
                  <c:v>Petroleum Product Wholesaling</c:v>
                </c:pt>
                <c:pt idx="134">
                  <c:v>Photographic, Optical and Ophthalmic Equipment Manufacturing</c:v>
                </c:pt>
                <c:pt idx="135">
                  <c:v>Pig Farming</c:v>
                </c:pt>
                <c:pt idx="136">
                  <c:v>Pipeline Transport</c:v>
                </c:pt>
                <c:pt idx="137">
                  <c:v>Plaster Product Manufacturing</c:v>
                </c:pt>
                <c:pt idx="138">
                  <c:v>Polymer Film and Sheet Packaging Material Manufacturing</c:v>
                </c:pt>
                <c:pt idx="139">
                  <c:v>Polymer Foam Product Manufacturing</c:v>
                </c:pt>
                <c:pt idx="140">
                  <c:v>Potato, Corn and Other Crisp Manufacturing</c:v>
                </c:pt>
                <c:pt idx="141">
                  <c:v>Poultry Farming (Eggs)</c:v>
                </c:pt>
                <c:pt idx="142">
                  <c:v>Poultry Farming (Meat)</c:v>
                </c:pt>
                <c:pt idx="143">
                  <c:v>Poultry Processing</c:v>
                </c:pt>
                <c:pt idx="144">
                  <c:v>Prepared Animal and Bird Feed Manufacturing</c:v>
                </c:pt>
                <c:pt idx="145">
                  <c:v>Printing</c:v>
                </c:pt>
                <c:pt idx="146">
                  <c:v>Printing Support Services</c:v>
                </c:pt>
                <c:pt idx="147">
                  <c:v>Railway Rolling Stock Manufacturing and Repair Services</c:v>
                </c:pt>
                <c:pt idx="148">
                  <c:v>Ready-Mixed Concrete Manufacturing</c:v>
                </c:pt>
                <c:pt idx="149">
                  <c:v>Reconstituted Wood Product Manufacturing</c:v>
                </c:pt>
                <c:pt idx="150">
                  <c:v>Rigid and Semi-Rigid Polymer Product Manufacturing</c:v>
                </c:pt>
                <c:pt idx="151">
                  <c:v>Scientific Research Services</c:v>
                </c:pt>
                <c:pt idx="152">
                  <c:v>Seafood Processing</c:v>
                </c:pt>
                <c:pt idx="153">
                  <c:v>Shipbuilding and Repair Services</c:v>
                </c:pt>
                <c:pt idx="154">
                  <c:v>Soft Drink, Cordial and Syrup Manufacturing</c:v>
                </c:pt>
                <c:pt idx="155">
                  <c:v>Solid Waste Collection Services</c:v>
                </c:pt>
                <c:pt idx="156">
                  <c:v>Spirit Manufacturing</c:v>
                </c:pt>
                <c:pt idx="157">
                  <c:v>Sports and Physical Recreation Venues, Grounds and Facilities Operation</c:v>
                </c:pt>
                <c:pt idx="158">
                  <c:v>Spring and Wire Product Manufacturing</c:v>
                </c:pt>
                <c:pt idx="159">
                  <c:v>Steel Pipe and Tube Manufacturing</c:v>
                </c:pt>
                <c:pt idx="160">
                  <c:v>Stevedoring Services</c:v>
                </c:pt>
                <c:pt idx="161">
                  <c:v>Structural Steel Fabricating</c:v>
                </c:pt>
                <c:pt idx="162">
                  <c:v>Sugar Manufacturing</c:v>
                </c:pt>
                <c:pt idx="163">
                  <c:v>Synthetic Textile Manufacturing</c:v>
                </c:pt>
                <c:pt idx="164">
                  <c:v>Textile Finishing and Other Textile Product Manufacturing</c:v>
                </c:pt>
                <c:pt idx="165">
                  <c:v>Textile Floor Covering Manufacturing</c:v>
                </c:pt>
                <c:pt idx="166">
                  <c:v>Timber Resawing and Dressing</c:v>
                </c:pt>
                <c:pt idx="167">
                  <c:v>Timber Wholesaling</c:v>
                </c:pt>
                <c:pt idx="168">
                  <c:v>Tyre Manufacturing</c:v>
                </c:pt>
                <c:pt idx="169">
                  <c:v>Veneer and Plywood Manufacturing</c:v>
                </c:pt>
                <c:pt idx="170">
                  <c:v>Veterinary Pharmaceutical and Medicinal Product Manufacturing</c:v>
                </c:pt>
                <c:pt idx="171">
                  <c:v>Waste Remediation and Materials Recovery Services</c:v>
                </c:pt>
                <c:pt idx="172">
                  <c:v>Water Supply</c:v>
                </c:pt>
                <c:pt idx="173">
                  <c:v>Whiteware Appliance Manufacturing</c:v>
                </c:pt>
                <c:pt idx="174">
                  <c:v>Wine and Other Alcoholic Beverage Manufacturing</c:v>
                </c:pt>
                <c:pt idx="175">
                  <c:v>Wood Chipping</c:v>
                </c:pt>
                <c:pt idx="176">
                  <c:v>Wooden Furniture and Upholstered Seat Manufacturing</c:v>
                </c:pt>
                <c:pt idx="177">
                  <c:v>Wooden Structural Fitting and Component Manufacturing</c:v>
                </c:pt>
                <c:pt idx="178">
                  <c:v>Wool Scouring</c:v>
                </c:pt>
              </c:strCache>
            </c:strRef>
          </c:cat>
          <c:val>
            <c:numRef>
              <c:f>'Figure 3 Emissions by activity'!$E$9:$E$187</c:f>
              <c:numCache>
                <c:formatCode>#,##0</c:formatCode>
                <c:ptCount val="179"/>
                <c:pt idx="0">
                  <c:v>43214924</c:v>
                </c:pt>
                <c:pt idx="1">
                  <c:v>33744046</c:v>
                </c:pt>
                <c:pt idx="2">
                  <c:v>13226998</c:v>
                </c:pt>
                <c:pt idx="3">
                  <c:v>8828738</c:v>
                </c:pt>
                <c:pt idx="4">
                  <c:v>5722774</c:v>
                </c:pt>
                <c:pt idx="5">
                  <c:v>5041903</c:v>
                </c:pt>
                <c:pt idx="6">
                  <c:v>3354498</c:v>
                </c:pt>
                <c:pt idx="7">
                  <c:v>3096110</c:v>
                </c:pt>
                <c:pt idx="8">
                  <c:v>2809779</c:v>
                </c:pt>
                <c:pt idx="9">
                  <c:v>2835523</c:v>
                </c:pt>
                <c:pt idx="10">
                  <c:v>2745140</c:v>
                </c:pt>
                <c:pt idx="11">
                  <c:v>1919212</c:v>
                </c:pt>
                <c:pt idx="12">
                  <c:v>1790767</c:v>
                </c:pt>
                <c:pt idx="13">
                  <c:v>1922443</c:v>
                </c:pt>
                <c:pt idx="14">
                  <c:v>1866251</c:v>
                </c:pt>
                <c:pt idx="15">
                  <c:v>1305831</c:v>
                </c:pt>
                <c:pt idx="16">
                  <c:v>812456</c:v>
                </c:pt>
                <c:pt idx="17">
                  <c:v>675287</c:v>
                </c:pt>
                <c:pt idx="18">
                  <c:v>611161</c:v>
                </c:pt>
                <c:pt idx="19">
                  <c:v>471188</c:v>
                </c:pt>
                <c:pt idx="20">
                  <c:v>518875</c:v>
                </c:pt>
                <c:pt idx="21">
                  <c:v>518876</c:v>
                </c:pt>
                <c:pt idx="22">
                  <c:v>418163</c:v>
                </c:pt>
                <c:pt idx="23">
                  <c:v>603183</c:v>
                </c:pt>
                <c:pt idx="24">
                  <c:v>367950</c:v>
                </c:pt>
                <c:pt idx="25">
                  <c:v>353050</c:v>
                </c:pt>
                <c:pt idx="26">
                  <c:v>351980</c:v>
                </c:pt>
                <c:pt idx="27">
                  <c:v>330044</c:v>
                </c:pt>
                <c:pt idx="28">
                  <c:v>229614</c:v>
                </c:pt>
                <c:pt idx="29">
                  <c:v>204393</c:v>
                </c:pt>
                <c:pt idx="30">
                  <c:v>58758</c:v>
                </c:pt>
                <c:pt idx="31">
                  <c:v>247533</c:v>
                </c:pt>
                <c:pt idx="32">
                  <c:v>145819</c:v>
                </c:pt>
                <c:pt idx="33">
                  <c:v>241526</c:v>
                </c:pt>
                <c:pt idx="34">
                  <c:v>119586</c:v>
                </c:pt>
                <c:pt idx="35">
                  <c:v>111279</c:v>
                </c:pt>
                <c:pt idx="36">
                  <c:v>106195</c:v>
                </c:pt>
                <c:pt idx="37">
                  <c:v>110628</c:v>
                </c:pt>
                <c:pt idx="38">
                  <c:v>109012</c:v>
                </c:pt>
                <c:pt idx="39">
                  <c:v>114936</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3-CC38-459F-A09B-4762A9080E0D}"/>
            </c:ext>
          </c:extLst>
        </c:ser>
        <c:ser>
          <c:idx val="4"/>
          <c:order val="4"/>
          <c:tx>
            <c:v>2020-21</c:v>
          </c:tx>
          <c:spPr>
            <a:solidFill>
              <a:srgbClr val="007966"/>
            </a:solidFill>
            <a:ln cmpd="sng">
              <a:solidFill>
                <a:srgbClr val="000000"/>
              </a:solidFill>
            </a:ln>
          </c:spPr>
          <c:invertIfNegative val="1"/>
          <c:cat>
            <c:strRef>
              <c:f>'Figure 3 Emissions by activity'!$A$9:$A$187</c:f>
              <c:strCache>
                <c:ptCount val="179"/>
                <c:pt idx="0">
                  <c:v>Oil and Gas Extraction</c:v>
                </c:pt>
                <c:pt idx="1">
                  <c:v>Coal Mining</c:v>
                </c:pt>
                <c:pt idx="2">
                  <c:v>Alumina Production</c:v>
                </c:pt>
                <c:pt idx="3">
                  <c:v>Iron Smelting and Steel Manufacturing</c:v>
                </c:pt>
                <c:pt idx="4">
                  <c:v>Cement and Lime Manufacturing</c:v>
                </c:pt>
                <c:pt idx="5">
                  <c:v>Iron Ore Mining</c:v>
                </c:pt>
                <c:pt idx="6">
                  <c:v>Aircraft Manufacturing and Repair Services</c:v>
                </c:pt>
                <c:pt idx="7">
                  <c:v>Aluminium Smelting</c:v>
                </c:pt>
                <c:pt idx="8">
                  <c:v>Petroleum Refining and Petroleum Fuel Manufacturing</c:v>
                </c:pt>
                <c:pt idx="9">
                  <c:v>Rail Freight Transport</c:v>
                </c:pt>
                <c:pt idx="10">
                  <c:v>Fertiliser Manufacturing</c:v>
                </c:pt>
                <c:pt idx="11">
                  <c:v>Air and Space Transport</c:v>
                </c:pt>
                <c:pt idx="12">
                  <c:v>Explosive Manufacturing</c:v>
                </c:pt>
                <c:pt idx="13">
                  <c:v>Gas Supply</c:v>
                </c:pt>
                <c:pt idx="14">
                  <c:v>Gold Ore Mining</c:v>
                </c:pt>
                <c:pt idx="15">
                  <c:v>Port and Water Transport Terminal Operations</c:v>
                </c:pt>
                <c:pt idx="16">
                  <c:v>Basic Inorganic Chemical Manufacturing</c:v>
                </c:pt>
                <c:pt idx="17">
                  <c:v>Copper, Silver, Lead and Zinc Smelting and Refining</c:v>
                </c:pt>
                <c:pt idx="18">
                  <c:v>Nickel Ore Mining</c:v>
                </c:pt>
                <c:pt idx="19">
                  <c:v>Basic Organic Chemical Manufacturing</c:v>
                </c:pt>
                <c:pt idx="20">
                  <c:v>Road Freight Transport</c:v>
                </c:pt>
                <c:pt idx="21">
                  <c:v>Mineral Sand Mining</c:v>
                </c:pt>
                <c:pt idx="22">
                  <c:v>Other Basic Non-Ferrous Metal Manufacturing</c:v>
                </c:pt>
                <c:pt idx="23">
                  <c:v>Pulp, Paper and Paperboard Manufacturing</c:v>
                </c:pt>
                <c:pt idx="24">
                  <c:v>Bauxite Mining</c:v>
                </c:pt>
                <c:pt idx="25">
                  <c:v>Synthetic Resin and Synthetic Rubber Manufacturing</c:v>
                </c:pt>
                <c:pt idx="26">
                  <c:v>Other Food Product Manufacturing n.e.c.</c:v>
                </c:pt>
                <c:pt idx="27">
                  <c:v>Other Metal Ore Mining</c:v>
                </c:pt>
                <c:pt idx="28">
                  <c:v>Copper Ore Mining</c:v>
                </c:pt>
                <c:pt idx="29">
                  <c:v>Glass and Glass Product Manufacturing</c:v>
                </c:pt>
                <c:pt idx="30">
                  <c:v>Other Non-Metallic Mineral Product Manufacturing</c:v>
                </c:pt>
                <c:pt idx="31">
                  <c:v>Sewerage and Drainage Services</c:v>
                </c:pt>
                <c:pt idx="32">
                  <c:v>Water Passenger Transport</c:v>
                </c:pt>
                <c:pt idx="33">
                  <c:v>Silver-Lead-Zinc Ore Mining</c:v>
                </c:pt>
                <c:pt idx="34">
                  <c:v>Rail Passenger Transport</c:v>
                </c:pt>
                <c:pt idx="35">
                  <c:v>Water Freight Transport</c:v>
                </c:pt>
                <c:pt idx="36">
                  <c:v>Urban Bus Transport (Including Tramway)</c:v>
                </c:pt>
                <c:pt idx="37">
                  <c:v>Waste Treatment and Disposal Services</c:v>
                </c:pt>
                <c:pt idx="38">
                  <c:v>Iron and Steel Casting</c:v>
                </c:pt>
                <c:pt idx="39">
                  <c:v>Human Pharmaceutical and Medicinal Product Manufacturing</c:v>
                </c:pt>
                <c:pt idx="40">
                  <c:v>Accommodation</c:v>
                </c:pt>
                <c:pt idx="41">
                  <c:v>Adhesive Manufacturing</c:v>
                </c:pt>
                <c:pt idx="42">
                  <c:v>Airport Operations and Other Air Transport Support Services</c:v>
                </c:pt>
                <c:pt idx="43">
                  <c:v>Aluminium Rolling, Drawing, Extruding</c:v>
                </c:pt>
                <c:pt idx="44">
                  <c:v>Beef Cattle Farming (Specialised)</c:v>
                </c:pt>
                <c:pt idx="45">
                  <c:v>Beef Cattle Feedlots (Specialised)</c:v>
                </c:pt>
                <c:pt idx="46">
                  <c:v>Beer Manufacturing</c:v>
                </c:pt>
                <c:pt idx="47">
                  <c:v>Biscuit Manufacturing (Factory based)</c:v>
                </c:pt>
                <c:pt idx="48">
                  <c:v>Boatbuilding and Repair Services</c:v>
                </c:pt>
                <c:pt idx="49">
                  <c:v>Boiler, Tank and Other Heavy Gauge Metal Container Manufacturing</c:v>
                </c:pt>
                <c:pt idx="50">
                  <c:v>Bread Manufacturing (Factory based)</c:v>
                </c:pt>
                <c:pt idx="51">
                  <c:v>Cake and Pastry Manufacturing (Factory based)</c:v>
                </c:pt>
                <c:pt idx="52">
                  <c:v>Central Government Administration</c:v>
                </c:pt>
                <c:pt idx="53">
                  <c:v>Cereal, Pasta and Baking Mix Manufacturing</c:v>
                </c:pt>
                <c:pt idx="54">
                  <c:v>Cheese and Other Dairy Product Manufacturing</c:v>
                </c:pt>
                <c:pt idx="55">
                  <c:v>Cigarette and Tobacco Product Manufacturing</c:v>
                </c:pt>
                <c:pt idx="56">
                  <c:v>Clay Brick Manufacturing</c:v>
                </c:pt>
                <c:pt idx="57">
                  <c:v>Cleaning Compound Manufacturing</c:v>
                </c:pt>
                <c:pt idx="58">
                  <c:v>Clothing Manufacturing</c:v>
                </c:pt>
                <c:pt idx="59">
                  <c:v>Concrete Product Manufacturing</c:v>
                </c:pt>
                <c:pt idx="60">
                  <c:v>Concreting Services</c:v>
                </c:pt>
                <c:pt idx="61">
                  <c:v>Confectionery Manufacturing</c:v>
                </c:pt>
                <c:pt idx="62">
                  <c:v>Corrugated Paperboard and Paperboard Container Manufacturing</c:v>
                </c:pt>
                <c:pt idx="63">
                  <c:v>Cosmetic and Toiletry Preparation Manufacturing</c:v>
                </c:pt>
                <c:pt idx="64">
                  <c:v>Cured Meat and Smallgoods Manufacturing</c:v>
                </c:pt>
                <c:pt idx="65">
                  <c:v>Cut and Sewn Textile Product Manufacturing</c:v>
                </c:pt>
                <c:pt idx="66">
                  <c:v>Dairy Cattle Farming</c:v>
                </c:pt>
                <c:pt idx="67">
                  <c:v>Data Processing and Web Hosting Services</c:v>
                </c:pt>
                <c:pt idx="68">
                  <c:v>Defence</c:v>
                </c:pt>
                <c:pt idx="69">
                  <c:v>Electric Cable and Wire Manufacturing</c:v>
                </c:pt>
                <c:pt idx="70">
                  <c:v>Fixed Space Heating, Cooling and Ventilation Equipment Manufacturing</c:v>
                </c:pt>
                <c:pt idx="71">
                  <c:v>Fossil Fuel Electricity Generation</c:v>
                </c:pt>
                <c:pt idx="72">
                  <c:v>Fruit and Vegetable Processing</c:v>
                </c:pt>
                <c:pt idx="73">
                  <c:v>Funeral, Crematorium and Cemetery Services</c:v>
                </c:pt>
                <c:pt idx="74">
                  <c:v>Grain Mill Product Manufacturing</c:v>
                </c:pt>
                <c:pt idx="75">
                  <c:v>Grain Storage Services</c:v>
                </c:pt>
                <c:pt idx="76">
                  <c:v>Gravel and Sand Quarrying</c:v>
                </c:pt>
                <c:pt idx="77">
                  <c:v>Higher Education</c:v>
                </c:pt>
                <c:pt idx="78">
                  <c:v>Hospitals (Except Psychiatric Hospitals)</c:v>
                </c:pt>
                <c:pt idx="79">
                  <c:v>Hydro-Electricity Generation</c:v>
                </c:pt>
                <c:pt idx="80">
                  <c:v>Ice Cream Manufacturing</c:v>
                </c:pt>
                <c:pt idx="81">
                  <c:v>Industrial and Agricultural Chemical Product Wholesaling</c:v>
                </c:pt>
                <c:pt idx="82">
                  <c:v>Industrial Gas Manufacturing</c:v>
                </c:pt>
                <c:pt idx="83">
                  <c:v>Iron and Steel Forging</c:v>
                </c:pt>
                <c:pt idx="84">
                  <c:v>Jewellery and Silverware Manufacturing</c:v>
                </c:pt>
                <c:pt idx="85">
                  <c:v>Laundry and Dry-Cleaning Services</c:v>
                </c:pt>
                <c:pt idx="86">
                  <c:v>Leather Tanning, Fur Dressing and Leather Product Manufacturing</c:v>
                </c:pt>
                <c:pt idx="87">
                  <c:v>Log Sawmilling</c:v>
                </c:pt>
                <c:pt idx="88">
                  <c:v>Machine Tool and Parts Manufacturing</c:v>
                </c:pt>
                <c:pt idx="89">
                  <c:v>Meat Processing</c:v>
                </c:pt>
                <c:pt idx="90">
                  <c:v>Medical and Surgical Equipment Manufacturing</c:v>
                </c:pt>
                <c:pt idx="91">
                  <c:v>Metal Coating and Finishing</c:v>
                </c:pt>
                <c:pt idx="92">
                  <c:v>Milk and Cream Processing</c:v>
                </c:pt>
                <c:pt idx="93">
                  <c:v>Mineral Exploration</c:v>
                </c:pt>
                <c:pt idx="94">
                  <c:v>Mining and Construction Machinery Manufacturing</c:v>
                </c:pt>
                <c:pt idx="95">
                  <c:v>Motor Vehicle Manufacturing</c:v>
                </c:pt>
                <c:pt idx="96">
                  <c:v>Motor Vehicle New Parts Wholesaling</c:v>
                </c:pt>
                <c:pt idx="97">
                  <c:v>Natural Rubber Product Manufacturing</c:v>
                </c:pt>
                <c:pt idx="98">
                  <c:v>Natural Textile Manufacturing</c:v>
                </c:pt>
                <c:pt idx="99">
                  <c:v>Newspaper Publishing</c:v>
                </c:pt>
                <c:pt idx="100">
                  <c:v>Non-Ferrous Metal Casting</c:v>
                </c:pt>
                <c:pt idx="101">
                  <c:v>Nut, Bolt, Screw and Rivet Manufacturing</c:v>
                </c:pt>
                <c:pt idx="102">
                  <c:v>Office Administrative Services</c:v>
                </c:pt>
                <c:pt idx="103">
                  <c:v>Oil and Fat Manufacturing</c:v>
                </c:pt>
                <c:pt idx="104">
                  <c:v>Other Basic Chemical Product Manufacturing n.e.c.</c:v>
                </c:pt>
                <c:pt idx="105">
                  <c:v>Other Basic Non-Ferrous Metal Product Manufacturing</c:v>
                </c:pt>
                <c:pt idx="106">
                  <c:v>Other Basic Polymer Manufacturing</c:v>
                </c:pt>
                <c:pt idx="107">
                  <c:v>Other Ceramic Product Manufacturing</c:v>
                </c:pt>
                <c:pt idx="108">
                  <c:v>Other Construction Material Mining</c:v>
                </c:pt>
                <c:pt idx="109">
                  <c:v>Other Converted Paper Product Manufacturing</c:v>
                </c:pt>
                <c:pt idx="110">
                  <c:v>Other Electrical Equipment Manufacturing</c:v>
                </c:pt>
                <c:pt idx="111">
                  <c:v>Other Electricity Generation</c:v>
                </c:pt>
                <c:pt idx="112">
                  <c:v>Other Fabricated Metal Product Manufacturing n.e.c.</c:v>
                </c:pt>
                <c:pt idx="113">
                  <c:v>Other Manufacturing n.e.c.</c:v>
                </c:pt>
                <c:pt idx="114">
                  <c:v>Other Metal Container Manufacturing</c:v>
                </c:pt>
                <c:pt idx="115">
                  <c:v>Other Mining Support Services</c:v>
                </c:pt>
                <c:pt idx="116">
                  <c:v>Other Motor Vehicle Parts Manufacturing</c:v>
                </c:pt>
                <c:pt idx="117">
                  <c:v>Other Non-Metallic Mineral Mining and Quarrying</c:v>
                </c:pt>
                <c:pt idx="118">
                  <c:v>Other Petroleum and Coal Product Manufacturing</c:v>
                </c:pt>
                <c:pt idx="119">
                  <c:v>Other Polymer Product Manufacturing</c:v>
                </c:pt>
                <c:pt idx="120">
                  <c:v>Other Professional and Scientific Equipment Manufacturing</c:v>
                </c:pt>
                <c:pt idx="121">
                  <c:v>Other Specialised Machinery and Equipment Manufacturing</c:v>
                </c:pt>
                <c:pt idx="122">
                  <c:v>Other Structural Metal Product Manufacturing</c:v>
                </c:pt>
                <c:pt idx="123">
                  <c:v>Other Transport n.e.c.</c:v>
                </c:pt>
                <c:pt idx="124">
                  <c:v>Other Transport Support Services n.e.c.</c:v>
                </c:pt>
                <c:pt idx="125">
                  <c:v>Other Warehousing and Storage Services</c:v>
                </c:pt>
                <c:pt idx="126">
                  <c:v>Other Waste Collection Services</c:v>
                </c:pt>
                <c:pt idx="127">
                  <c:v>Other Wood Product Manufacturing n.e.c.</c:v>
                </c:pt>
                <c:pt idx="128">
                  <c:v>Packaging Services</c:v>
                </c:pt>
                <c:pt idx="129">
                  <c:v>Paint and Coatings Manufacturing</c:v>
                </c:pt>
                <c:pt idx="130">
                  <c:v>Paper Bag Manufacturing</c:v>
                </c:pt>
                <c:pt idx="131">
                  <c:v>Pesticide Manufacturing</c:v>
                </c:pt>
                <c:pt idx="132">
                  <c:v>Petroleum Exploration</c:v>
                </c:pt>
                <c:pt idx="133">
                  <c:v>Petroleum Product Wholesaling</c:v>
                </c:pt>
                <c:pt idx="134">
                  <c:v>Photographic, Optical and Ophthalmic Equipment Manufacturing</c:v>
                </c:pt>
                <c:pt idx="135">
                  <c:v>Pig Farming</c:v>
                </c:pt>
                <c:pt idx="136">
                  <c:v>Pipeline Transport</c:v>
                </c:pt>
                <c:pt idx="137">
                  <c:v>Plaster Product Manufacturing</c:v>
                </c:pt>
                <c:pt idx="138">
                  <c:v>Polymer Film and Sheet Packaging Material Manufacturing</c:v>
                </c:pt>
                <c:pt idx="139">
                  <c:v>Polymer Foam Product Manufacturing</c:v>
                </c:pt>
                <c:pt idx="140">
                  <c:v>Potato, Corn and Other Crisp Manufacturing</c:v>
                </c:pt>
                <c:pt idx="141">
                  <c:v>Poultry Farming (Eggs)</c:v>
                </c:pt>
                <c:pt idx="142">
                  <c:v>Poultry Farming (Meat)</c:v>
                </c:pt>
                <c:pt idx="143">
                  <c:v>Poultry Processing</c:v>
                </c:pt>
                <c:pt idx="144">
                  <c:v>Prepared Animal and Bird Feed Manufacturing</c:v>
                </c:pt>
                <c:pt idx="145">
                  <c:v>Printing</c:v>
                </c:pt>
                <c:pt idx="146">
                  <c:v>Printing Support Services</c:v>
                </c:pt>
                <c:pt idx="147">
                  <c:v>Railway Rolling Stock Manufacturing and Repair Services</c:v>
                </c:pt>
                <c:pt idx="148">
                  <c:v>Ready-Mixed Concrete Manufacturing</c:v>
                </c:pt>
                <c:pt idx="149">
                  <c:v>Reconstituted Wood Product Manufacturing</c:v>
                </c:pt>
                <c:pt idx="150">
                  <c:v>Rigid and Semi-Rigid Polymer Product Manufacturing</c:v>
                </c:pt>
                <c:pt idx="151">
                  <c:v>Scientific Research Services</c:v>
                </c:pt>
                <c:pt idx="152">
                  <c:v>Seafood Processing</c:v>
                </c:pt>
                <c:pt idx="153">
                  <c:v>Shipbuilding and Repair Services</c:v>
                </c:pt>
                <c:pt idx="154">
                  <c:v>Soft Drink, Cordial and Syrup Manufacturing</c:v>
                </c:pt>
                <c:pt idx="155">
                  <c:v>Solid Waste Collection Services</c:v>
                </c:pt>
                <c:pt idx="156">
                  <c:v>Spirit Manufacturing</c:v>
                </c:pt>
                <c:pt idx="157">
                  <c:v>Sports and Physical Recreation Venues, Grounds and Facilities Operation</c:v>
                </c:pt>
                <c:pt idx="158">
                  <c:v>Spring and Wire Product Manufacturing</c:v>
                </c:pt>
                <c:pt idx="159">
                  <c:v>Steel Pipe and Tube Manufacturing</c:v>
                </c:pt>
                <c:pt idx="160">
                  <c:v>Stevedoring Services</c:v>
                </c:pt>
                <c:pt idx="161">
                  <c:v>Structural Steel Fabricating</c:v>
                </c:pt>
                <c:pt idx="162">
                  <c:v>Sugar Manufacturing</c:v>
                </c:pt>
                <c:pt idx="163">
                  <c:v>Synthetic Textile Manufacturing</c:v>
                </c:pt>
                <c:pt idx="164">
                  <c:v>Textile Finishing and Other Textile Product Manufacturing</c:v>
                </c:pt>
                <c:pt idx="165">
                  <c:v>Textile Floor Covering Manufacturing</c:v>
                </c:pt>
                <c:pt idx="166">
                  <c:v>Timber Resawing and Dressing</c:v>
                </c:pt>
                <c:pt idx="167">
                  <c:v>Timber Wholesaling</c:v>
                </c:pt>
                <c:pt idx="168">
                  <c:v>Tyre Manufacturing</c:v>
                </c:pt>
                <c:pt idx="169">
                  <c:v>Veneer and Plywood Manufacturing</c:v>
                </c:pt>
                <c:pt idx="170">
                  <c:v>Veterinary Pharmaceutical and Medicinal Product Manufacturing</c:v>
                </c:pt>
                <c:pt idx="171">
                  <c:v>Waste Remediation and Materials Recovery Services</c:v>
                </c:pt>
                <c:pt idx="172">
                  <c:v>Water Supply</c:v>
                </c:pt>
                <c:pt idx="173">
                  <c:v>Whiteware Appliance Manufacturing</c:v>
                </c:pt>
                <c:pt idx="174">
                  <c:v>Wine and Other Alcoholic Beverage Manufacturing</c:v>
                </c:pt>
                <c:pt idx="175">
                  <c:v>Wood Chipping</c:v>
                </c:pt>
                <c:pt idx="176">
                  <c:v>Wooden Furniture and Upholstered Seat Manufacturing</c:v>
                </c:pt>
                <c:pt idx="177">
                  <c:v>Wooden Structural Fitting and Component Manufacturing</c:v>
                </c:pt>
                <c:pt idx="178">
                  <c:v>Wool Scouring</c:v>
                </c:pt>
              </c:strCache>
            </c:strRef>
          </c:cat>
          <c:val>
            <c:numRef>
              <c:f>'Figure 3 Emissions by activity'!$F$9:$F$187</c:f>
              <c:numCache>
                <c:formatCode>#,##0</c:formatCode>
                <c:ptCount val="179"/>
                <c:pt idx="0">
                  <c:v>40732250</c:v>
                </c:pt>
                <c:pt idx="1">
                  <c:v>32525136</c:v>
                </c:pt>
                <c:pt idx="2">
                  <c:v>13373530</c:v>
                </c:pt>
                <c:pt idx="3">
                  <c:v>8993364</c:v>
                </c:pt>
                <c:pt idx="4">
                  <c:v>5603472</c:v>
                </c:pt>
                <c:pt idx="5">
                  <c:v>5384167</c:v>
                </c:pt>
                <c:pt idx="6">
                  <c:v>2466674</c:v>
                </c:pt>
                <c:pt idx="7">
                  <c:v>3030540</c:v>
                </c:pt>
                <c:pt idx="8">
                  <c:v>2543924</c:v>
                </c:pt>
                <c:pt idx="9">
                  <c:v>3001441</c:v>
                </c:pt>
                <c:pt idx="10">
                  <c:v>3100186</c:v>
                </c:pt>
                <c:pt idx="11">
                  <c:v>1050511</c:v>
                </c:pt>
                <c:pt idx="12">
                  <c:v>1557717</c:v>
                </c:pt>
                <c:pt idx="13">
                  <c:v>1806857</c:v>
                </c:pt>
                <c:pt idx="14">
                  <c:v>2236047</c:v>
                </c:pt>
                <c:pt idx="15">
                  <c:v>1241225</c:v>
                </c:pt>
                <c:pt idx="16">
                  <c:v>761914</c:v>
                </c:pt>
                <c:pt idx="17">
                  <c:v>643363</c:v>
                </c:pt>
                <c:pt idx="18">
                  <c:v>784899</c:v>
                </c:pt>
                <c:pt idx="19">
                  <c:v>461734</c:v>
                </c:pt>
                <c:pt idx="20">
                  <c:v>444449</c:v>
                </c:pt>
                <c:pt idx="21">
                  <c:v>419060</c:v>
                </c:pt>
                <c:pt idx="22">
                  <c:v>328572</c:v>
                </c:pt>
                <c:pt idx="23">
                  <c:v>481145</c:v>
                </c:pt>
                <c:pt idx="24">
                  <c:v>459388</c:v>
                </c:pt>
                <c:pt idx="25">
                  <c:v>347300</c:v>
                </c:pt>
                <c:pt idx="26">
                  <c:v>361874</c:v>
                </c:pt>
                <c:pt idx="27">
                  <c:v>304964</c:v>
                </c:pt>
                <c:pt idx="28">
                  <c:v>234786</c:v>
                </c:pt>
                <c:pt idx="29">
                  <c:v>209186</c:v>
                </c:pt>
                <c:pt idx="30">
                  <c:v>240525</c:v>
                </c:pt>
                <c:pt idx="31">
                  <c:v>146326</c:v>
                </c:pt>
                <c:pt idx="32">
                  <c:v>129262</c:v>
                </c:pt>
                <c:pt idx="33">
                  <c:v>238460</c:v>
                </c:pt>
                <c:pt idx="34">
                  <c:v>120324</c:v>
                </c:pt>
                <c:pt idx="35">
                  <c:v>108109</c:v>
                </c:pt>
                <c:pt idx="36">
                  <c:v>0</c:v>
                </c:pt>
                <c:pt idx="37">
                  <c:v>238912</c:v>
                </c:pt>
                <c:pt idx="38">
                  <c:v>113227</c:v>
                </c:pt>
                <c:pt idx="39">
                  <c:v>47125</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4-CC38-459F-A09B-4762A9080E0D}"/>
            </c:ext>
          </c:extLst>
        </c:ser>
        <c:dLbls>
          <c:showLegendKey val="0"/>
          <c:showVal val="0"/>
          <c:showCatName val="0"/>
          <c:showSerName val="0"/>
          <c:showPercent val="0"/>
          <c:showBubbleSize val="0"/>
        </c:dLbls>
        <c:gapWidth val="150"/>
        <c:overlap val="100"/>
        <c:axId val="907454618"/>
        <c:axId val="233875424"/>
      </c:barChart>
      <c:catAx>
        <c:axId val="907454618"/>
        <c:scaling>
          <c:orientation val="maxMin"/>
        </c:scaling>
        <c:delete val="0"/>
        <c:axPos val="l"/>
        <c:title>
          <c:tx>
            <c:rich>
              <a:bodyPr/>
              <a:lstStyle/>
              <a:p>
                <a:pPr lvl="0">
                  <a:defRPr b="0">
                    <a:solidFill>
                      <a:srgbClr val="000000"/>
                    </a:solidFill>
                    <a:latin typeface="+mn-lt"/>
                  </a:defRPr>
                </a:pPr>
                <a:r>
                  <a:rPr lang="en-AU" b="0">
                    <a:solidFill>
                      <a:srgbClr val="000000"/>
                    </a:solidFill>
                    <a:latin typeface="+mn-lt"/>
                  </a:rPr>
                  <a:t>Activity</a:t>
                </a:r>
              </a:p>
            </c:rich>
          </c:tx>
          <c:overlay val="0"/>
        </c:title>
        <c:numFmt formatCode="General" sourceLinked="1"/>
        <c:majorTickMark val="none"/>
        <c:minorTickMark val="none"/>
        <c:tickLblPos val="nextTo"/>
        <c:txPr>
          <a:bodyPr/>
          <a:lstStyle/>
          <a:p>
            <a:pPr lvl="0">
              <a:defRPr b="0">
                <a:solidFill>
                  <a:srgbClr val="000000"/>
                </a:solidFill>
                <a:latin typeface="+mn-lt"/>
              </a:defRPr>
            </a:pPr>
            <a:endParaRPr lang="en-US"/>
          </a:p>
        </c:txPr>
        <c:crossAx val="233875424"/>
        <c:crosses val="autoZero"/>
        <c:auto val="1"/>
        <c:lblAlgn val="ctr"/>
        <c:lblOffset val="100"/>
        <c:noMultiLvlLbl val="1"/>
      </c:catAx>
      <c:valAx>
        <c:axId val="233875424"/>
        <c:scaling>
          <c:orientation val="minMax"/>
        </c:scaling>
        <c:delete val="0"/>
        <c:axPos val="b"/>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lang="en-AU" b="0">
                    <a:solidFill>
                      <a:srgbClr val="000000"/>
                    </a:solidFill>
                    <a:latin typeface="+mn-lt"/>
                  </a:rPr>
                  <a:t>Emissions (tCO2e) 2016-17 to 2020-21</a:t>
                </a:r>
              </a:p>
            </c:rich>
          </c:tx>
          <c:overlay val="0"/>
        </c:title>
        <c:numFmt formatCode="#,##0" sourceLinked="1"/>
        <c:majorTickMark val="none"/>
        <c:minorTickMark val="none"/>
        <c:tickLblPos val="nextTo"/>
        <c:spPr>
          <a:ln/>
        </c:spPr>
        <c:txPr>
          <a:bodyPr/>
          <a:lstStyle/>
          <a:p>
            <a:pPr lvl="0">
              <a:defRPr b="0">
                <a:solidFill>
                  <a:srgbClr val="000000"/>
                </a:solidFill>
                <a:latin typeface="+mn-lt"/>
              </a:defRPr>
            </a:pPr>
            <a:endParaRPr lang="en-US"/>
          </a:p>
        </c:txPr>
        <c:crossAx val="907454618"/>
        <c:crosses val="max"/>
        <c:crossBetween val="between"/>
      </c:valAx>
    </c:plotArea>
    <c:legend>
      <c:legendPos val="r"/>
      <c:overlay val="0"/>
      <c:txPr>
        <a:bodyPr/>
        <a:lstStyle/>
        <a:p>
          <a:pPr lvl="0">
            <a:defRPr b="0">
              <a:solidFill>
                <a:srgbClr val="1A1A1A"/>
              </a:solidFill>
              <a:latin typeface="+mn-lt"/>
            </a:defRPr>
          </a:pPr>
          <a:endParaRPr lang="en-US"/>
        </a:p>
      </c:txPr>
    </c:legend>
    <c:plotVisOnly val="1"/>
    <c:dispBlanksAs val="zero"/>
    <c:showDLblsOverMax val="1"/>
  </c:chart>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lvl="0">
              <a:defRPr b="0">
                <a:solidFill>
                  <a:srgbClr val="757575"/>
                </a:solidFill>
                <a:latin typeface="+mn-lt"/>
              </a:defRPr>
            </a:pPr>
            <a:r>
              <a:rPr lang="en-AU" b="0">
                <a:solidFill>
                  <a:srgbClr val="757575"/>
                </a:solidFill>
                <a:latin typeface="+mn-lt"/>
              </a:rPr>
              <a:t>Aggregate Safeguard baselines by activity</a:t>
            </a:r>
          </a:p>
        </c:rich>
      </c:tx>
      <c:overlay val="0"/>
    </c:title>
    <c:autoTitleDeleted val="0"/>
    <c:plotArea>
      <c:layout/>
      <c:barChart>
        <c:barDir val="bar"/>
        <c:grouping val="stacked"/>
        <c:varyColors val="1"/>
        <c:ser>
          <c:idx val="0"/>
          <c:order val="0"/>
          <c:tx>
            <c:v>2016-17</c:v>
          </c:tx>
          <c:spPr>
            <a:solidFill>
              <a:srgbClr val="C6E097"/>
            </a:solidFill>
            <a:ln cmpd="sng">
              <a:solidFill>
                <a:srgbClr val="000000"/>
              </a:solidFill>
            </a:ln>
          </c:spPr>
          <c:invertIfNegative val="1"/>
          <c:cat>
            <c:strRef>
              <c:f>'Figure 4 Baselines by activity'!$A$3:$A$181</c:f>
              <c:strCache>
                <c:ptCount val="179"/>
                <c:pt idx="0">
                  <c:v>Coal Mining</c:v>
                </c:pt>
                <c:pt idx="1">
                  <c:v>Oil and Gas Extraction</c:v>
                </c:pt>
                <c:pt idx="2">
                  <c:v>Iron Smelting and Steel Manufacturing</c:v>
                </c:pt>
                <c:pt idx="3">
                  <c:v>Alumina Production</c:v>
                </c:pt>
                <c:pt idx="4">
                  <c:v>Cement and Lime Manufacturing</c:v>
                </c:pt>
                <c:pt idx="5">
                  <c:v>Iron Ore Mining</c:v>
                </c:pt>
                <c:pt idx="6">
                  <c:v>Aircraft Manufacturing and Repair Services</c:v>
                </c:pt>
                <c:pt idx="7">
                  <c:v>Fertiliser Manufacturing</c:v>
                </c:pt>
                <c:pt idx="8">
                  <c:v>Petroleum Refining and Petroleum Fuel Manufacturing</c:v>
                </c:pt>
                <c:pt idx="9">
                  <c:v>Rail Freight Transport</c:v>
                </c:pt>
                <c:pt idx="10">
                  <c:v>Aluminium Smelting</c:v>
                </c:pt>
                <c:pt idx="11">
                  <c:v>Air and Space Transport</c:v>
                </c:pt>
                <c:pt idx="12">
                  <c:v>Waste Treatment and Disposal Services</c:v>
                </c:pt>
                <c:pt idx="13">
                  <c:v>Gas Supply</c:v>
                </c:pt>
                <c:pt idx="14">
                  <c:v>Gold Ore Mining</c:v>
                </c:pt>
                <c:pt idx="15">
                  <c:v>Explosive Manufacturing</c:v>
                </c:pt>
                <c:pt idx="16">
                  <c:v>Other Basic Non-Ferrous Metal Manufacturing</c:v>
                </c:pt>
                <c:pt idx="17">
                  <c:v>Basic Inorganic Chemical Manufacturing</c:v>
                </c:pt>
                <c:pt idx="18">
                  <c:v>Port and Water Transport Terminal Operations</c:v>
                </c:pt>
                <c:pt idx="19">
                  <c:v>Copper, Silver, Lead and Zinc Smelting and Refining</c:v>
                </c:pt>
                <c:pt idx="20">
                  <c:v>Nickel Ore Mining</c:v>
                </c:pt>
                <c:pt idx="21">
                  <c:v>Pulp, Paper and Paperboard Manufacturing</c:v>
                </c:pt>
                <c:pt idx="22">
                  <c:v>Mineral Sand Mining</c:v>
                </c:pt>
                <c:pt idx="23">
                  <c:v>Glass and Glass Product Manufacturing</c:v>
                </c:pt>
                <c:pt idx="24">
                  <c:v>Road Freight Transport</c:v>
                </c:pt>
                <c:pt idx="25">
                  <c:v>Copper Ore Mining</c:v>
                </c:pt>
                <c:pt idx="26">
                  <c:v>Basic Organic Chemical Manufacturing</c:v>
                </c:pt>
                <c:pt idx="27">
                  <c:v>Bauxite Mining</c:v>
                </c:pt>
                <c:pt idx="28">
                  <c:v>Other Food Product Manufacturing n.e.c.</c:v>
                </c:pt>
                <c:pt idx="29">
                  <c:v>Synthetic Resin and Synthetic Rubber Manufacturing</c:v>
                </c:pt>
                <c:pt idx="30">
                  <c:v>Other Metal Ore Mining</c:v>
                </c:pt>
                <c:pt idx="31">
                  <c:v>Silver-Lead-Zinc Ore Mining</c:v>
                </c:pt>
                <c:pt idx="32">
                  <c:v>Other Non-Metallic Mineral Product Manufacturing</c:v>
                </c:pt>
                <c:pt idx="33">
                  <c:v>Sewerage and Drainage Services</c:v>
                </c:pt>
                <c:pt idx="34">
                  <c:v>Water Freight Transport</c:v>
                </c:pt>
                <c:pt idx="35">
                  <c:v>Urban Bus Transport (Including Tramway)</c:v>
                </c:pt>
                <c:pt idx="36">
                  <c:v>Water Passenger Transport</c:v>
                </c:pt>
                <c:pt idx="37">
                  <c:v>Iron and Steel Casting</c:v>
                </c:pt>
                <c:pt idx="38">
                  <c:v>Rail Passenger Transport</c:v>
                </c:pt>
                <c:pt idx="39">
                  <c:v>Fossil Fuel Electricity Generation</c:v>
                </c:pt>
                <c:pt idx="40">
                  <c:v>Petroleum Product Wholesaling</c:v>
                </c:pt>
                <c:pt idx="41">
                  <c:v>Human Pharmaceutical and Medicinal Product Manufacturing</c:v>
                </c:pt>
                <c:pt idx="42">
                  <c:v>Accommodation</c:v>
                </c:pt>
                <c:pt idx="43">
                  <c:v>Adhesive Manufacturing</c:v>
                </c:pt>
                <c:pt idx="44">
                  <c:v>Airport Operations and Other Air Transport Support Services</c:v>
                </c:pt>
                <c:pt idx="45">
                  <c:v>Aluminium Rolling, Drawing, Extruding</c:v>
                </c:pt>
                <c:pt idx="46">
                  <c:v>Beef Cattle Farming (Specialised)</c:v>
                </c:pt>
                <c:pt idx="47">
                  <c:v>Beef Cattle Feedlots (Specialised)</c:v>
                </c:pt>
                <c:pt idx="48">
                  <c:v>Beer Manufacturing</c:v>
                </c:pt>
                <c:pt idx="49">
                  <c:v>Biscuit Manufacturing (Factory based)</c:v>
                </c:pt>
                <c:pt idx="50">
                  <c:v>Boatbuilding and Repair Services</c:v>
                </c:pt>
                <c:pt idx="51">
                  <c:v>Boiler, Tank and Other Heavy Gauge Metal Container Manufacturing</c:v>
                </c:pt>
                <c:pt idx="52">
                  <c:v>Bread Manufacturing (Factory based)</c:v>
                </c:pt>
                <c:pt idx="53">
                  <c:v>Cake and Pastry Manufacturing (Factory based)</c:v>
                </c:pt>
                <c:pt idx="54">
                  <c:v>Central Government Administration</c:v>
                </c:pt>
                <c:pt idx="55">
                  <c:v>Cereal, Pasta and Baking Mix Manufacturing</c:v>
                </c:pt>
                <c:pt idx="56">
                  <c:v>Cheese and Other Dairy Product Manufacturing</c:v>
                </c:pt>
                <c:pt idx="57">
                  <c:v>Cigarette and Tobacco Product Manufacturing</c:v>
                </c:pt>
                <c:pt idx="58">
                  <c:v>Clay Brick Manufacturing</c:v>
                </c:pt>
                <c:pt idx="59">
                  <c:v>Cleaning Compound Manufacturing</c:v>
                </c:pt>
                <c:pt idx="60">
                  <c:v>Clothing Manufacturing</c:v>
                </c:pt>
                <c:pt idx="61">
                  <c:v>Concrete Product Manufacturing</c:v>
                </c:pt>
                <c:pt idx="62">
                  <c:v>Concreting Services</c:v>
                </c:pt>
                <c:pt idx="63">
                  <c:v>Confectionery Manufacturing</c:v>
                </c:pt>
                <c:pt idx="64">
                  <c:v>Corrugated Paperboard and Paperboard Container Manufacturing</c:v>
                </c:pt>
                <c:pt idx="65">
                  <c:v>Cosmetic and Toiletry Preparation Manufacturing</c:v>
                </c:pt>
                <c:pt idx="66">
                  <c:v>Cured Meat and Smallgoods Manufacturing</c:v>
                </c:pt>
                <c:pt idx="67">
                  <c:v>Cut and Sewn Textile Product Manufacturing</c:v>
                </c:pt>
                <c:pt idx="68">
                  <c:v>Dairy Cattle Farming</c:v>
                </c:pt>
                <c:pt idx="69">
                  <c:v>Data Processing and Web Hosting Services</c:v>
                </c:pt>
                <c:pt idx="70">
                  <c:v>Defence</c:v>
                </c:pt>
                <c:pt idx="71">
                  <c:v>Electric Cable and Wire Manufacturing</c:v>
                </c:pt>
                <c:pt idx="72">
                  <c:v>Fixed Space Heating, Cooling and Ventilation Equipment Manufacturing</c:v>
                </c:pt>
                <c:pt idx="73">
                  <c:v>Fruit and Vegetable Processing</c:v>
                </c:pt>
                <c:pt idx="74">
                  <c:v>Funeral, Crematorium and Cemetery Services</c:v>
                </c:pt>
                <c:pt idx="75">
                  <c:v>Grain Mill Product Manufacturing</c:v>
                </c:pt>
                <c:pt idx="76">
                  <c:v>Grain Storage Services</c:v>
                </c:pt>
                <c:pt idx="77">
                  <c:v>Gravel and Sand Quarrying</c:v>
                </c:pt>
                <c:pt idx="78">
                  <c:v>Higher Education</c:v>
                </c:pt>
                <c:pt idx="79">
                  <c:v>Hospitals (Except Psychiatric Hospitals)</c:v>
                </c:pt>
                <c:pt idx="80">
                  <c:v>Hydro-Electricity Generation</c:v>
                </c:pt>
                <c:pt idx="81">
                  <c:v>Ice Cream Manufacturing</c:v>
                </c:pt>
                <c:pt idx="82">
                  <c:v>Industrial and Agricultural Chemical Product Wholesaling</c:v>
                </c:pt>
                <c:pt idx="83">
                  <c:v>Industrial Gas Manufacturing</c:v>
                </c:pt>
                <c:pt idx="84">
                  <c:v>Iron and Steel Forging</c:v>
                </c:pt>
                <c:pt idx="85">
                  <c:v>Jewellery and Silverware Manufacturing</c:v>
                </c:pt>
                <c:pt idx="86">
                  <c:v>Laundry and Dry-Cleaning Services</c:v>
                </c:pt>
                <c:pt idx="87">
                  <c:v>Leather Tanning, Fur Dressing and Leather Product Manufacturing</c:v>
                </c:pt>
                <c:pt idx="88">
                  <c:v>Log Sawmilling</c:v>
                </c:pt>
                <c:pt idx="89">
                  <c:v>Machine Tool and Parts Manufacturing</c:v>
                </c:pt>
                <c:pt idx="90">
                  <c:v>Meat Processing</c:v>
                </c:pt>
                <c:pt idx="91">
                  <c:v>Medical and Surgical Equipment Manufacturing</c:v>
                </c:pt>
                <c:pt idx="92">
                  <c:v>Metal Coating and Finishing</c:v>
                </c:pt>
                <c:pt idx="93">
                  <c:v>Milk and Cream Processing</c:v>
                </c:pt>
                <c:pt idx="94">
                  <c:v>Mineral Exploration</c:v>
                </c:pt>
                <c:pt idx="95">
                  <c:v>Mining and Construction Machinery Manufacturing</c:v>
                </c:pt>
                <c:pt idx="96">
                  <c:v>Motor Vehicle Manufacturing</c:v>
                </c:pt>
                <c:pt idx="97">
                  <c:v>Motor Vehicle New Parts Wholesaling</c:v>
                </c:pt>
                <c:pt idx="98">
                  <c:v>Natural Rubber Product Manufacturing</c:v>
                </c:pt>
                <c:pt idx="99">
                  <c:v>Natural Textile Manufacturing</c:v>
                </c:pt>
                <c:pt idx="100">
                  <c:v>Newspaper Publishing</c:v>
                </c:pt>
                <c:pt idx="101">
                  <c:v>Non-Ferrous Metal Casting</c:v>
                </c:pt>
                <c:pt idx="102">
                  <c:v>Nut, Bolt, Screw and Rivet Manufacturing</c:v>
                </c:pt>
                <c:pt idx="103">
                  <c:v>Office Administrative Services</c:v>
                </c:pt>
                <c:pt idx="104">
                  <c:v>Oil and Fat Manufacturing</c:v>
                </c:pt>
                <c:pt idx="105">
                  <c:v>Other Basic Chemical Product Manufacturing n.e.c.</c:v>
                </c:pt>
                <c:pt idx="106">
                  <c:v>Other Basic Non-Ferrous Metal Product Manufacturing</c:v>
                </c:pt>
                <c:pt idx="107">
                  <c:v>Other Basic Polymer Manufacturing</c:v>
                </c:pt>
                <c:pt idx="108">
                  <c:v>Other Ceramic Product Manufacturing</c:v>
                </c:pt>
                <c:pt idx="109">
                  <c:v>Other Construction Material Mining</c:v>
                </c:pt>
                <c:pt idx="110">
                  <c:v>Other Converted Paper Product Manufacturing</c:v>
                </c:pt>
                <c:pt idx="111">
                  <c:v>Other Electrical Equipment Manufacturing</c:v>
                </c:pt>
                <c:pt idx="112">
                  <c:v>Other Electricity Generation</c:v>
                </c:pt>
                <c:pt idx="113">
                  <c:v>Other Fabricated Metal Product Manufacturing n.e.c.</c:v>
                </c:pt>
                <c:pt idx="114">
                  <c:v>Other Manufacturing n.e.c.</c:v>
                </c:pt>
                <c:pt idx="115">
                  <c:v>Other Metal Container Manufacturing</c:v>
                </c:pt>
                <c:pt idx="116">
                  <c:v>Other Mining Support Services</c:v>
                </c:pt>
                <c:pt idx="117">
                  <c:v>Other Motor Vehicle Parts Manufacturing</c:v>
                </c:pt>
                <c:pt idx="118">
                  <c:v>Other Non-Metallic Mineral Mining and Quarrying</c:v>
                </c:pt>
                <c:pt idx="119">
                  <c:v>Other Petroleum and Coal Product Manufacturing</c:v>
                </c:pt>
                <c:pt idx="120">
                  <c:v>Other Polymer Product Manufacturing</c:v>
                </c:pt>
                <c:pt idx="121">
                  <c:v>Other Professional and Scientific Equipment Manufacturing</c:v>
                </c:pt>
                <c:pt idx="122">
                  <c:v>Other Specialised Machinery and Equipment Manufacturing</c:v>
                </c:pt>
                <c:pt idx="123">
                  <c:v>Other Structural Metal Product Manufacturing</c:v>
                </c:pt>
                <c:pt idx="124">
                  <c:v>Other Transport n.e.c.</c:v>
                </c:pt>
                <c:pt idx="125">
                  <c:v>Other Transport Support Services n.e.c.</c:v>
                </c:pt>
                <c:pt idx="126">
                  <c:v>Other Warehousing and Storage Services</c:v>
                </c:pt>
                <c:pt idx="127">
                  <c:v>Other Waste Collection Services</c:v>
                </c:pt>
                <c:pt idx="128">
                  <c:v>Other Wood Product Manufacturing n.e.c.</c:v>
                </c:pt>
                <c:pt idx="129">
                  <c:v>Packaging Services</c:v>
                </c:pt>
                <c:pt idx="130">
                  <c:v>Paint and Coatings Manufacturing</c:v>
                </c:pt>
                <c:pt idx="131">
                  <c:v>Paper Bag Manufacturing</c:v>
                </c:pt>
                <c:pt idx="132">
                  <c:v>Pesticide Manufacturing</c:v>
                </c:pt>
                <c:pt idx="133">
                  <c:v>Petroleum Exploration</c:v>
                </c:pt>
                <c:pt idx="134">
                  <c:v>Photographic, Optical and Ophthalmic Equipment Manufacturing</c:v>
                </c:pt>
                <c:pt idx="135">
                  <c:v>Pig Farming</c:v>
                </c:pt>
                <c:pt idx="136">
                  <c:v>Pipeline Transport</c:v>
                </c:pt>
                <c:pt idx="137">
                  <c:v>Plaster Product Manufacturing</c:v>
                </c:pt>
                <c:pt idx="138">
                  <c:v>Polymer Film and Sheet Packaging Material Manufacturing</c:v>
                </c:pt>
                <c:pt idx="139">
                  <c:v>Polymer Foam Product Manufacturing</c:v>
                </c:pt>
                <c:pt idx="140">
                  <c:v>Potato, Corn and Other Crisp Manufacturing</c:v>
                </c:pt>
                <c:pt idx="141">
                  <c:v>Poultry Farming (Eggs)</c:v>
                </c:pt>
                <c:pt idx="142">
                  <c:v>Poultry Farming (Meat)</c:v>
                </c:pt>
                <c:pt idx="143">
                  <c:v>Poultry Processing</c:v>
                </c:pt>
                <c:pt idx="144">
                  <c:v>Prepared Animal and Bird Feed Manufacturing</c:v>
                </c:pt>
                <c:pt idx="145">
                  <c:v>Printing</c:v>
                </c:pt>
                <c:pt idx="146">
                  <c:v>Printing Support Services</c:v>
                </c:pt>
                <c:pt idx="147">
                  <c:v>Railway Rolling Stock Manufacturing and Repair Services</c:v>
                </c:pt>
                <c:pt idx="148">
                  <c:v>Ready-Mixed Concrete Manufacturing</c:v>
                </c:pt>
                <c:pt idx="149">
                  <c:v>Reconstituted Wood Product Manufacturing</c:v>
                </c:pt>
                <c:pt idx="150">
                  <c:v>Rigid and Semi-Rigid Polymer Product Manufacturing</c:v>
                </c:pt>
                <c:pt idx="151">
                  <c:v>Scientific Research Services</c:v>
                </c:pt>
                <c:pt idx="152">
                  <c:v>Seafood Processing</c:v>
                </c:pt>
                <c:pt idx="153">
                  <c:v>Shipbuilding and Repair Services</c:v>
                </c:pt>
                <c:pt idx="154">
                  <c:v>Soft Drink, Cordial and Syrup Manufacturing</c:v>
                </c:pt>
                <c:pt idx="155">
                  <c:v>Solid Waste Collection Services</c:v>
                </c:pt>
                <c:pt idx="156">
                  <c:v>Spirit Manufacturing</c:v>
                </c:pt>
                <c:pt idx="157">
                  <c:v>Sports and Physical Recreation Venues, Grounds and Facilities Operation</c:v>
                </c:pt>
                <c:pt idx="158">
                  <c:v>Spring and Wire Product Manufacturing</c:v>
                </c:pt>
                <c:pt idx="159">
                  <c:v>Steel Pipe and Tube Manufacturing</c:v>
                </c:pt>
                <c:pt idx="160">
                  <c:v>Stevedoring Services</c:v>
                </c:pt>
                <c:pt idx="161">
                  <c:v>Structural Steel Fabricating</c:v>
                </c:pt>
                <c:pt idx="162">
                  <c:v>Sugar Manufacturing</c:v>
                </c:pt>
                <c:pt idx="163">
                  <c:v>Synthetic Textile Manufacturing</c:v>
                </c:pt>
                <c:pt idx="164">
                  <c:v>Textile Finishing and Other Textile Product Manufacturing</c:v>
                </c:pt>
                <c:pt idx="165">
                  <c:v>Textile Floor Covering Manufacturing</c:v>
                </c:pt>
                <c:pt idx="166">
                  <c:v>Timber Resawing and Dressing</c:v>
                </c:pt>
                <c:pt idx="167">
                  <c:v>Timber Wholesaling</c:v>
                </c:pt>
                <c:pt idx="168">
                  <c:v>Tyre Manufacturing</c:v>
                </c:pt>
                <c:pt idx="169">
                  <c:v>Veneer and Plywood Manufacturing</c:v>
                </c:pt>
                <c:pt idx="170">
                  <c:v>Veterinary Pharmaceutical and Medicinal Product Manufacturing</c:v>
                </c:pt>
                <c:pt idx="171">
                  <c:v>Waste Remediation and Materials Recovery Services</c:v>
                </c:pt>
                <c:pt idx="172">
                  <c:v>Water Supply</c:v>
                </c:pt>
                <c:pt idx="173">
                  <c:v>Whiteware Appliance Manufacturing</c:v>
                </c:pt>
                <c:pt idx="174">
                  <c:v>Wine and Other Alcoholic Beverage Manufacturing</c:v>
                </c:pt>
                <c:pt idx="175">
                  <c:v>Wood Chipping</c:v>
                </c:pt>
                <c:pt idx="176">
                  <c:v>Wooden Furniture and Upholstered Seat Manufacturing</c:v>
                </c:pt>
                <c:pt idx="177">
                  <c:v>Wooden Structural Fitting and Component Manufacturing</c:v>
                </c:pt>
                <c:pt idx="178">
                  <c:v>Wool Scouring</c:v>
                </c:pt>
              </c:strCache>
            </c:strRef>
          </c:cat>
          <c:val>
            <c:numRef>
              <c:f>'Figure 4 Baselines by activity'!$B$3:$B$181</c:f>
              <c:numCache>
                <c:formatCode>#,##0</c:formatCode>
                <c:ptCount val="179"/>
                <c:pt idx="0">
                  <c:v>52963980</c:v>
                </c:pt>
                <c:pt idx="1">
                  <c:v>40707124</c:v>
                </c:pt>
                <c:pt idx="2">
                  <c:v>14191733</c:v>
                </c:pt>
                <c:pt idx="3">
                  <c:v>13796651</c:v>
                </c:pt>
                <c:pt idx="4">
                  <c:v>7746596</c:v>
                </c:pt>
                <c:pt idx="5">
                  <c:v>4813049</c:v>
                </c:pt>
                <c:pt idx="6">
                  <c:v>4698510</c:v>
                </c:pt>
                <c:pt idx="7">
                  <c:v>3984683</c:v>
                </c:pt>
                <c:pt idx="8">
                  <c:v>3422950</c:v>
                </c:pt>
                <c:pt idx="9">
                  <c:v>3306049</c:v>
                </c:pt>
                <c:pt idx="10">
                  <c:v>3249237</c:v>
                </c:pt>
                <c:pt idx="11">
                  <c:v>2821239</c:v>
                </c:pt>
                <c:pt idx="12">
                  <c:v>2718275</c:v>
                </c:pt>
                <c:pt idx="13">
                  <c:v>2627634</c:v>
                </c:pt>
                <c:pt idx="14">
                  <c:v>2099656</c:v>
                </c:pt>
                <c:pt idx="15">
                  <c:v>1867643</c:v>
                </c:pt>
                <c:pt idx="16">
                  <c:v>1933443</c:v>
                </c:pt>
                <c:pt idx="17">
                  <c:v>1900066</c:v>
                </c:pt>
                <c:pt idx="18">
                  <c:v>1403024</c:v>
                </c:pt>
                <c:pt idx="19">
                  <c:v>974405</c:v>
                </c:pt>
                <c:pt idx="20">
                  <c:v>853949</c:v>
                </c:pt>
                <c:pt idx="21">
                  <c:v>842681</c:v>
                </c:pt>
                <c:pt idx="22">
                  <c:v>798483</c:v>
                </c:pt>
                <c:pt idx="23">
                  <c:v>709591</c:v>
                </c:pt>
                <c:pt idx="24">
                  <c:v>573297</c:v>
                </c:pt>
                <c:pt idx="25">
                  <c:v>511249</c:v>
                </c:pt>
                <c:pt idx="26">
                  <c:v>488720</c:v>
                </c:pt>
                <c:pt idx="27">
                  <c:v>379820</c:v>
                </c:pt>
                <c:pt idx="28">
                  <c:v>338959</c:v>
                </c:pt>
                <c:pt idx="29">
                  <c:v>364892</c:v>
                </c:pt>
                <c:pt idx="30">
                  <c:v>314009</c:v>
                </c:pt>
                <c:pt idx="31">
                  <c:v>277564</c:v>
                </c:pt>
                <c:pt idx="32">
                  <c:v>357739</c:v>
                </c:pt>
                <c:pt idx="33">
                  <c:v>145847</c:v>
                </c:pt>
                <c:pt idx="34">
                  <c:v>216744</c:v>
                </c:pt>
                <c:pt idx="35">
                  <c:v>159748</c:v>
                </c:pt>
                <c:pt idx="36">
                  <c:v>152460</c:v>
                </c:pt>
                <c:pt idx="37">
                  <c:v>0</c:v>
                </c:pt>
                <c:pt idx="38">
                  <c:v>128474</c:v>
                </c:pt>
                <c:pt idx="39">
                  <c:v>106831</c:v>
                </c:pt>
                <c:pt idx="40">
                  <c:v>100000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768A-4004-B3B3-90B0C08335C3}"/>
            </c:ext>
          </c:extLst>
        </c:ser>
        <c:ser>
          <c:idx val="1"/>
          <c:order val="1"/>
          <c:tx>
            <c:v>2017-18</c:v>
          </c:tx>
          <c:spPr>
            <a:solidFill>
              <a:srgbClr val="79B88D"/>
            </a:solidFill>
            <a:ln cmpd="sng">
              <a:solidFill>
                <a:srgbClr val="000000"/>
              </a:solidFill>
            </a:ln>
          </c:spPr>
          <c:invertIfNegative val="1"/>
          <c:dPt>
            <c:idx val="0"/>
            <c:invertIfNegative val="1"/>
            <c:bubble3D val="0"/>
            <c:spPr>
              <a:solidFill>
                <a:schemeClr val="accent1"/>
              </a:solidFill>
              <a:ln cmpd="sng">
                <a:solidFill>
                  <a:srgbClr val="000000"/>
                </a:solidFill>
              </a:ln>
            </c:spPr>
            <c:extLst>
              <c:ext xmlns:c16="http://schemas.microsoft.com/office/drawing/2014/chart" uri="{C3380CC4-5D6E-409C-BE32-E72D297353CC}">
                <c16:uniqueId val="{00000001-A15E-4B77-B08E-C0D5EE5162A8}"/>
              </c:ext>
            </c:extLst>
          </c:dPt>
          <c:cat>
            <c:strRef>
              <c:f>'Figure 4 Baselines by activity'!$A$3:$A$181</c:f>
              <c:strCache>
                <c:ptCount val="179"/>
                <c:pt idx="0">
                  <c:v>Coal Mining</c:v>
                </c:pt>
                <c:pt idx="1">
                  <c:v>Oil and Gas Extraction</c:v>
                </c:pt>
                <c:pt idx="2">
                  <c:v>Iron Smelting and Steel Manufacturing</c:v>
                </c:pt>
                <c:pt idx="3">
                  <c:v>Alumina Production</c:v>
                </c:pt>
                <c:pt idx="4">
                  <c:v>Cement and Lime Manufacturing</c:v>
                </c:pt>
                <c:pt idx="5">
                  <c:v>Iron Ore Mining</c:v>
                </c:pt>
                <c:pt idx="6">
                  <c:v>Aircraft Manufacturing and Repair Services</c:v>
                </c:pt>
                <c:pt idx="7">
                  <c:v>Fertiliser Manufacturing</c:v>
                </c:pt>
                <c:pt idx="8">
                  <c:v>Petroleum Refining and Petroleum Fuel Manufacturing</c:v>
                </c:pt>
                <c:pt idx="9">
                  <c:v>Rail Freight Transport</c:v>
                </c:pt>
                <c:pt idx="10">
                  <c:v>Aluminium Smelting</c:v>
                </c:pt>
                <c:pt idx="11">
                  <c:v>Air and Space Transport</c:v>
                </c:pt>
                <c:pt idx="12">
                  <c:v>Waste Treatment and Disposal Services</c:v>
                </c:pt>
                <c:pt idx="13">
                  <c:v>Gas Supply</c:v>
                </c:pt>
                <c:pt idx="14">
                  <c:v>Gold Ore Mining</c:v>
                </c:pt>
                <c:pt idx="15">
                  <c:v>Explosive Manufacturing</c:v>
                </c:pt>
                <c:pt idx="16">
                  <c:v>Other Basic Non-Ferrous Metal Manufacturing</c:v>
                </c:pt>
                <c:pt idx="17">
                  <c:v>Basic Inorganic Chemical Manufacturing</c:v>
                </c:pt>
                <c:pt idx="18">
                  <c:v>Port and Water Transport Terminal Operations</c:v>
                </c:pt>
                <c:pt idx="19">
                  <c:v>Copper, Silver, Lead and Zinc Smelting and Refining</c:v>
                </c:pt>
                <c:pt idx="20">
                  <c:v>Nickel Ore Mining</c:v>
                </c:pt>
                <c:pt idx="21">
                  <c:v>Pulp, Paper and Paperboard Manufacturing</c:v>
                </c:pt>
                <c:pt idx="22">
                  <c:v>Mineral Sand Mining</c:v>
                </c:pt>
                <c:pt idx="23">
                  <c:v>Glass and Glass Product Manufacturing</c:v>
                </c:pt>
                <c:pt idx="24">
                  <c:v>Road Freight Transport</c:v>
                </c:pt>
                <c:pt idx="25">
                  <c:v>Copper Ore Mining</c:v>
                </c:pt>
                <c:pt idx="26">
                  <c:v>Basic Organic Chemical Manufacturing</c:v>
                </c:pt>
                <c:pt idx="27">
                  <c:v>Bauxite Mining</c:v>
                </c:pt>
                <c:pt idx="28">
                  <c:v>Other Food Product Manufacturing n.e.c.</c:v>
                </c:pt>
                <c:pt idx="29">
                  <c:v>Synthetic Resin and Synthetic Rubber Manufacturing</c:v>
                </c:pt>
                <c:pt idx="30">
                  <c:v>Other Metal Ore Mining</c:v>
                </c:pt>
                <c:pt idx="31">
                  <c:v>Silver-Lead-Zinc Ore Mining</c:v>
                </c:pt>
                <c:pt idx="32">
                  <c:v>Other Non-Metallic Mineral Product Manufacturing</c:v>
                </c:pt>
                <c:pt idx="33">
                  <c:v>Sewerage and Drainage Services</c:v>
                </c:pt>
                <c:pt idx="34">
                  <c:v>Water Freight Transport</c:v>
                </c:pt>
                <c:pt idx="35">
                  <c:v>Urban Bus Transport (Including Tramway)</c:v>
                </c:pt>
                <c:pt idx="36">
                  <c:v>Water Passenger Transport</c:v>
                </c:pt>
                <c:pt idx="37">
                  <c:v>Iron and Steel Casting</c:v>
                </c:pt>
                <c:pt idx="38">
                  <c:v>Rail Passenger Transport</c:v>
                </c:pt>
                <c:pt idx="39">
                  <c:v>Fossil Fuel Electricity Generation</c:v>
                </c:pt>
                <c:pt idx="40">
                  <c:v>Petroleum Product Wholesaling</c:v>
                </c:pt>
                <c:pt idx="41">
                  <c:v>Human Pharmaceutical and Medicinal Product Manufacturing</c:v>
                </c:pt>
                <c:pt idx="42">
                  <c:v>Accommodation</c:v>
                </c:pt>
                <c:pt idx="43">
                  <c:v>Adhesive Manufacturing</c:v>
                </c:pt>
                <c:pt idx="44">
                  <c:v>Airport Operations and Other Air Transport Support Services</c:v>
                </c:pt>
                <c:pt idx="45">
                  <c:v>Aluminium Rolling, Drawing, Extruding</c:v>
                </c:pt>
                <c:pt idx="46">
                  <c:v>Beef Cattle Farming (Specialised)</c:v>
                </c:pt>
                <c:pt idx="47">
                  <c:v>Beef Cattle Feedlots (Specialised)</c:v>
                </c:pt>
                <c:pt idx="48">
                  <c:v>Beer Manufacturing</c:v>
                </c:pt>
                <c:pt idx="49">
                  <c:v>Biscuit Manufacturing (Factory based)</c:v>
                </c:pt>
                <c:pt idx="50">
                  <c:v>Boatbuilding and Repair Services</c:v>
                </c:pt>
                <c:pt idx="51">
                  <c:v>Boiler, Tank and Other Heavy Gauge Metal Container Manufacturing</c:v>
                </c:pt>
                <c:pt idx="52">
                  <c:v>Bread Manufacturing (Factory based)</c:v>
                </c:pt>
                <c:pt idx="53">
                  <c:v>Cake and Pastry Manufacturing (Factory based)</c:v>
                </c:pt>
                <c:pt idx="54">
                  <c:v>Central Government Administration</c:v>
                </c:pt>
                <c:pt idx="55">
                  <c:v>Cereal, Pasta and Baking Mix Manufacturing</c:v>
                </c:pt>
                <c:pt idx="56">
                  <c:v>Cheese and Other Dairy Product Manufacturing</c:v>
                </c:pt>
                <c:pt idx="57">
                  <c:v>Cigarette and Tobacco Product Manufacturing</c:v>
                </c:pt>
                <c:pt idx="58">
                  <c:v>Clay Brick Manufacturing</c:v>
                </c:pt>
                <c:pt idx="59">
                  <c:v>Cleaning Compound Manufacturing</c:v>
                </c:pt>
                <c:pt idx="60">
                  <c:v>Clothing Manufacturing</c:v>
                </c:pt>
                <c:pt idx="61">
                  <c:v>Concrete Product Manufacturing</c:v>
                </c:pt>
                <c:pt idx="62">
                  <c:v>Concreting Services</c:v>
                </c:pt>
                <c:pt idx="63">
                  <c:v>Confectionery Manufacturing</c:v>
                </c:pt>
                <c:pt idx="64">
                  <c:v>Corrugated Paperboard and Paperboard Container Manufacturing</c:v>
                </c:pt>
                <c:pt idx="65">
                  <c:v>Cosmetic and Toiletry Preparation Manufacturing</c:v>
                </c:pt>
                <c:pt idx="66">
                  <c:v>Cured Meat and Smallgoods Manufacturing</c:v>
                </c:pt>
                <c:pt idx="67">
                  <c:v>Cut and Sewn Textile Product Manufacturing</c:v>
                </c:pt>
                <c:pt idx="68">
                  <c:v>Dairy Cattle Farming</c:v>
                </c:pt>
                <c:pt idx="69">
                  <c:v>Data Processing and Web Hosting Services</c:v>
                </c:pt>
                <c:pt idx="70">
                  <c:v>Defence</c:v>
                </c:pt>
                <c:pt idx="71">
                  <c:v>Electric Cable and Wire Manufacturing</c:v>
                </c:pt>
                <c:pt idx="72">
                  <c:v>Fixed Space Heating, Cooling and Ventilation Equipment Manufacturing</c:v>
                </c:pt>
                <c:pt idx="73">
                  <c:v>Fruit and Vegetable Processing</c:v>
                </c:pt>
                <c:pt idx="74">
                  <c:v>Funeral, Crematorium and Cemetery Services</c:v>
                </c:pt>
                <c:pt idx="75">
                  <c:v>Grain Mill Product Manufacturing</c:v>
                </c:pt>
                <c:pt idx="76">
                  <c:v>Grain Storage Services</c:v>
                </c:pt>
                <c:pt idx="77">
                  <c:v>Gravel and Sand Quarrying</c:v>
                </c:pt>
                <c:pt idx="78">
                  <c:v>Higher Education</c:v>
                </c:pt>
                <c:pt idx="79">
                  <c:v>Hospitals (Except Psychiatric Hospitals)</c:v>
                </c:pt>
                <c:pt idx="80">
                  <c:v>Hydro-Electricity Generation</c:v>
                </c:pt>
                <c:pt idx="81">
                  <c:v>Ice Cream Manufacturing</c:v>
                </c:pt>
                <c:pt idx="82">
                  <c:v>Industrial and Agricultural Chemical Product Wholesaling</c:v>
                </c:pt>
                <c:pt idx="83">
                  <c:v>Industrial Gas Manufacturing</c:v>
                </c:pt>
                <c:pt idx="84">
                  <c:v>Iron and Steel Forging</c:v>
                </c:pt>
                <c:pt idx="85">
                  <c:v>Jewellery and Silverware Manufacturing</c:v>
                </c:pt>
                <c:pt idx="86">
                  <c:v>Laundry and Dry-Cleaning Services</c:v>
                </c:pt>
                <c:pt idx="87">
                  <c:v>Leather Tanning, Fur Dressing and Leather Product Manufacturing</c:v>
                </c:pt>
                <c:pt idx="88">
                  <c:v>Log Sawmilling</c:v>
                </c:pt>
                <c:pt idx="89">
                  <c:v>Machine Tool and Parts Manufacturing</c:v>
                </c:pt>
                <c:pt idx="90">
                  <c:v>Meat Processing</c:v>
                </c:pt>
                <c:pt idx="91">
                  <c:v>Medical and Surgical Equipment Manufacturing</c:v>
                </c:pt>
                <c:pt idx="92">
                  <c:v>Metal Coating and Finishing</c:v>
                </c:pt>
                <c:pt idx="93">
                  <c:v>Milk and Cream Processing</c:v>
                </c:pt>
                <c:pt idx="94">
                  <c:v>Mineral Exploration</c:v>
                </c:pt>
                <c:pt idx="95">
                  <c:v>Mining and Construction Machinery Manufacturing</c:v>
                </c:pt>
                <c:pt idx="96">
                  <c:v>Motor Vehicle Manufacturing</c:v>
                </c:pt>
                <c:pt idx="97">
                  <c:v>Motor Vehicle New Parts Wholesaling</c:v>
                </c:pt>
                <c:pt idx="98">
                  <c:v>Natural Rubber Product Manufacturing</c:v>
                </c:pt>
                <c:pt idx="99">
                  <c:v>Natural Textile Manufacturing</c:v>
                </c:pt>
                <c:pt idx="100">
                  <c:v>Newspaper Publishing</c:v>
                </c:pt>
                <c:pt idx="101">
                  <c:v>Non-Ferrous Metal Casting</c:v>
                </c:pt>
                <c:pt idx="102">
                  <c:v>Nut, Bolt, Screw and Rivet Manufacturing</c:v>
                </c:pt>
                <c:pt idx="103">
                  <c:v>Office Administrative Services</c:v>
                </c:pt>
                <c:pt idx="104">
                  <c:v>Oil and Fat Manufacturing</c:v>
                </c:pt>
                <c:pt idx="105">
                  <c:v>Other Basic Chemical Product Manufacturing n.e.c.</c:v>
                </c:pt>
                <c:pt idx="106">
                  <c:v>Other Basic Non-Ferrous Metal Product Manufacturing</c:v>
                </c:pt>
                <c:pt idx="107">
                  <c:v>Other Basic Polymer Manufacturing</c:v>
                </c:pt>
                <c:pt idx="108">
                  <c:v>Other Ceramic Product Manufacturing</c:v>
                </c:pt>
                <c:pt idx="109">
                  <c:v>Other Construction Material Mining</c:v>
                </c:pt>
                <c:pt idx="110">
                  <c:v>Other Converted Paper Product Manufacturing</c:v>
                </c:pt>
                <c:pt idx="111">
                  <c:v>Other Electrical Equipment Manufacturing</c:v>
                </c:pt>
                <c:pt idx="112">
                  <c:v>Other Electricity Generation</c:v>
                </c:pt>
                <c:pt idx="113">
                  <c:v>Other Fabricated Metal Product Manufacturing n.e.c.</c:v>
                </c:pt>
                <c:pt idx="114">
                  <c:v>Other Manufacturing n.e.c.</c:v>
                </c:pt>
                <c:pt idx="115">
                  <c:v>Other Metal Container Manufacturing</c:v>
                </c:pt>
                <c:pt idx="116">
                  <c:v>Other Mining Support Services</c:v>
                </c:pt>
                <c:pt idx="117">
                  <c:v>Other Motor Vehicle Parts Manufacturing</c:v>
                </c:pt>
                <c:pt idx="118">
                  <c:v>Other Non-Metallic Mineral Mining and Quarrying</c:v>
                </c:pt>
                <c:pt idx="119">
                  <c:v>Other Petroleum and Coal Product Manufacturing</c:v>
                </c:pt>
                <c:pt idx="120">
                  <c:v>Other Polymer Product Manufacturing</c:v>
                </c:pt>
                <c:pt idx="121">
                  <c:v>Other Professional and Scientific Equipment Manufacturing</c:v>
                </c:pt>
                <c:pt idx="122">
                  <c:v>Other Specialised Machinery and Equipment Manufacturing</c:v>
                </c:pt>
                <c:pt idx="123">
                  <c:v>Other Structural Metal Product Manufacturing</c:v>
                </c:pt>
                <c:pt idx="124">
                  <c:v>Other Transport n.e.c.</c:v>
                </c:pt>
                <c:pt idx="125">
                  <c:v>Other Transport Support Services n.e.c.</c:v>
                </c:pt>
                <c:pt idx="126">
                  <c:v>Other Warehousing and Storage Services</c:v>
                </c:pt>
                <c:pt idx="127">
                  <c:v>Other Waste Collection Services</c:v>
                </c:pt>
                <c:pt idx="128">
                  <c:v>Other Wood Product Manufacturing n.e.c.</c:v>
                </c:pt>
                <c:pt idx="129">
                  <c:v>Packaging Services</c:v>
                </c:pt>
                <c:pt idx="130">
                  <c:v>Paint and Coatings Manufacturing</c:v>
                </c:pt>
                <c:pt idx="131">
                  <c:v>Paper Bag Manufacturing</c:v>
                </c:pt>
                <c:pt idx="132">
                  <c:v>Pesticide Manufacturing</c:v>
                </c:pt>
                <c:pt idx="133">
                  <c:v>Petroleum Exploration</c:v>
                </c:pt>
                <c:pt idx="134">
                  <c:v>Photographic, Optical and Ophthalmic Equipment Manufacturing</c:v>
                </c:pt>
                <c:pt idx="135">
                  <c:v>Pig Farming</c:v>
                </c:pt>
                <c:pt idx="136">
                  <c:v>Pipeline Transport</c:v>
                </c:pt>
                <c:pt idx="137">
                  <c:v>Plaster Product Manufacturing</c:v>
                </c:pt>
                <c:pt idx="138">
                  <c:v>Polymer Film and Sheet Packaging Material Manufacturing</c:v>
                </c:pt>
                <c:pt idx="139">
                  <c:v>Polymer Foam Product Manufacturing</c:v>
                </c:pt>
                <c:pt idx="140">
                  <c:v>Potato, Corn and Other Crisp Manufacturing</c:v>
                </c:pt>
                <c:pt idx="141">
                  <c:v>Poultry Farming (Eggs)</c:v>
                </c:pt>
                <c:pt idx="142">
                  <c:v>Poultry Farming (Meat)</c:v>
                </c:pt>
                <c:pt idx="143">
                  <c:v>Poultry Processing</c:v>
                </c:pt>
                <c:pt idx="144">
                  <c:v>Prepared Animal and Bird Feed Manufacturing</c:v>
                </c:pt>
                <c:pt idx="145">
                  <c:v>Printing</c:v>
                </c:pt>
                <c:pt idx="146">
                  <c:v>Printing Support Services</c:v>
                </c:pt>
                <c:pt idx="147">
                  <c:v>Railway Rolling Stock Manufacturing and Repair Services</c:v>
                </c:pt>
                <c:pt idx="148">
                  <c:v>Ready-Mixed Concrete Manufacturing</c:v>
                </c:pt>
                <c:pt idx="149">
                  <c:v>Reconstituted Wood Product Manufacturing</c:v>
                </c:pt>
                <c:pt idx="150">
                  <c:v>Rigid and Semi-Rigid Polymer Product Manufacturing</c:v>
                </c:pt>
                <c:pt idx="151">
                  <c:v>Scientific Research Services</c:v>
                </c:pt>
                <c:pt idx="152">
                  <c:v>Seafood Processing</c:v>
                </c:pt>
                <c:pt idx="153">
                  <c:v>Shipbuilding and Repair Services</c:v>
                </c:pt>
                <c:pt idx="154">
                  <c:v>Soft Drink, Cordial and Syrup Manufacturing</c:v>
                </c:pt>
                <c:pt idx="155">
                  <c:v>Solid Waste Collection Services</c:v>
                </c:pt>
                <c:pt idx="156">
                  <c:v>Spirit Manufacturing</c:v>
                </c:pt>
                <c:pt idx="157">
                  <c:v>Sports and Physical Recreation Venues, Grounds and Facilities Operation</c:v>
                </c:pt>
                <c:pt idx="158">
                  <c:v>Spring and Wire Product Manufacturing</c:v>
                </c:pt>
                <c:pt idx="159">
                  <c:v>Steel Pipe and Tube Manufacturing</c:v>
                </c:pt>
                <c:pt idx="160">
                  <c:v>Stevedoring Services</c:v>
                </c:pt>
                <c:pt idx="161">
                  <c:v>Structural Steel Fabricating</c:v>
                </c:pt>
                <c:pt idx="162">
                  <c:v>Sugar Manufacturing</c:v>
                </c:pt>
                <c:pt idx="163">
                  <c:v>Synthetic Textile Manufacturing</c:v>
                </c:pt>
                <c:pt idx="164">
                  <c:v>Textile Finishing and Other Textile Product Manufacturing</c:v>
                </c:pt>
                <c:pt idx="165">
                  <c:v>Textile Floor Covering Manufacturing</c:v>
                </c:pt>
                <c:pt idx="166">
                  <c:v>Timber Resawing and Dressing</c:v>
                </c:pt>
                <c:pt idx="167">
                  <c:v>Timber Wholesaling</c:v>
                </c:pt>
                <c:pt idx="168">
                  <c:v>Tyre Manufacturing</c:v>
                </c:pt>
                <c:pt idx="169">
                  <c:v>Veneer and Plywood Manufacturing</c:v>
                </c:pt>
                <c:pt idx="170">
                  <c:v>Veterinary Pharmaceutical and Medicinal Product Manufacturing</c:v>
                </c:pt>
                <c:pt idx="171">
                  <c:v>Waste Remediation and Materials Recovery Services</c:v>
                </c:pt>
                <c:pt idx="172">
                  <c:v>Water Supply</c:v>
                </c:pt>
                <c:pt idx="173">
                  <c:v>Whiteware Appliance Manufacturing</c:v>
                </c:pt>
                <c:pt idx="174">
                  <c:v>Wine and Other Alcoholic Beverage Manufacturing</c:v>
                </c:pt>
                <c:pt idx="175">
                  <c:v>Wood Chipping</c:v>
                </c:pt>
                <c:pt idx="176">
                  <c:v>Wooden Furniture and Upholstered Seat Manufacturing</c:v>
                </c:pt>
                <c:pt idx="177">
                  <c:v>Wooden Structural Fitting and Component Manufacturing</c:v>
                </c:pt>
                <c:pt idx="178">
                  <c:v>Wool Scouring</c:v>
                </c:pt>
              </c:strCache>
            </c:strRef>
          </c:cat>
          <c:val>
            <c:numRef>
              <c:f>'Figure 4 Baselines by activity'!$C$3:$C$181</c:f>
              <c:numCache>
                <c:formatCode>#,##0</c:formatCode>
                <c:ptCount val="179"/>
                <c:pt idx="0">
                  <c:v>55055892</c:v>
                </c:pt>
                <c:pt idx="1">
                  <c:v>54719881</c:v>
                </c:pt>
                <c:pt idx="2">
                  <c:v>14191733</c:v>
                </c:pt>
                <c:pt idx="3">
                  <c:v>13796651</c:v>
                </c:pt>
                <c:pt idx="4">
                  <c:v>7746596</c:v>
                </c:pt>
                <c:pt idx="5">
                  <c:v>4817858</c:v>
                </c:pt>
                <c:pt idx="6">
                  <c:v>4698510</c:v>
                </c:pt>
                <c:pt idx="7">
                  <c:v>3984683</c:v>
                </c:pt>
                <c:pt idx="8">
                  <c:v>3422950</c:v>
                </c:pt>
                <c:pt idx="9">
                  <c:v>3306049</c:v>
                </c:pt>
                <c:pt idx="10">
                  <c:v>3249237</c:v>
                </c:pt>
                <c:pt idx="11">
                  <c:v>2821239</c:v>
                </c:pt>
                <c:pt idx="12">
                  <c:v>2718275</c:v>
                </c:pt>
                <c:pt idx="13">
                  <c:v>2627634</c:v>
                </c:pt>
                <c:pt idx="14">
                  <c:v>2099656</c:v>
                </c:pt>
                <c:pt idx="15">
                  <c:v>1867643</c:v>
                </c:pt>
                <c:pt idx="16">
                  <c:v>1933443</c:v>
                </c:pt>
                <c:pt idx="17">
                  <c:v>1900066</c:v>
                </c:pt>
                <c:pt idx="18">
                  <c:v>1403024</c:v>
                </c:pt>
                <c:pt idx="19">
                  <c:v>974405</c:v>
                </c:pt>
                <c:pt idx="20">
                  <c:v>853949</c:v>
                </c:pt>
                <c:pt idx="21">
                  <c:v>842681</c:v>
                </c:pt>
                <c:pt idx="22">
                  <c:v>798483</c:v>
                </c:pt>
                <c:pt idx="23">
                  <c:v>709591</c:v>
                </c:pt>
                <c:pt idx="24">
                  <c:v>573297</c:v>
                </c:pt>
                <c:pt idx="25">
                  <c:v>511249</c:v>
                </c:pt>
                <c:pt idx="26">
                  <c:v>488720</c:v>
                </c:pt>
                <c:pt idx="27">
                  <c:v>379820</c:v>
                </c:pt>
                <c:pt idx="28">
                  <c:v>338959</c:v>
                </c:pt>
                <c:pt idx="29">
                  <c:v>364892</c:v>
                </c:pt>
                <c:pt idx="30">
                  <c:v>314009</c:v>
                </c:pt>
                <c:pt idx="31">
                  <c:v>277564</c:v>
                </c:pt>
                <c:pt idx="32">
                  <c:v>357739</c:v>
                </c:pt>
                <c:pt idx="33">
                  <c:v>245847</c:v>
                </c:pt>
                <c:pt idx="34">
                  <c:v>216744</c:v>
                </c:pt>
                <c:pt idx="35">
                  <c:v>159748</c:v>
                </c:pt>
                <c:pt idx="36">
                  <c:v>152460</c:v>
                </c:pt>
                <c:pt idx="37">
                  <c:v>200</c:v>
                </c:pt>
                <c:pt idx="38">
                  <c:v>128474</c:v>
                </c:pt>
                <c:pt idx="39">
                  <c:v>106831</c:v>
                </c:pt>
                <c:pt idx="40">
                  <c:v>100000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1-768A-4004-B3B3-90B0C08335C3}"/>
            </c:ext>
          </c:extLst>
        </c:ser>
        <c:ser>
          <c:idx val="2"/>
          <c:order val="2"/>
          <c:tx>
            <c:v>2018-19</c:v>
          </c:tx>
          <c:spPr>
            <a:solidFill>
              <a:srgbClr val="37AD68"/>
            </a:solidFill>
            <a:ln cmpd="sng">
              <a:solidFill>
                <a:srgbClr val="000000"/>
              </a:solidFill>
            </a:ln>
          </c:spPr>
          <c:invertIfNegative val="1"/>
          <c:cat>
            <c:strRef>
              <c:f>'Figure 4 Baselines by activity'!$A$3:$A$181</c:f>
              <c:strCache>
                <c:ptCount val="179"/>
                <c:pt idx="0">
                  <c:v>Coal Mining</c:v>
                </c:pt>
                <c:pt idx="1">
                  <c:v>Oil and Gas Extraction</c:v>
                </c:pt>
                <c:pt idx="2">
                  <c:v>Iron Smelting and Steel Manufacturing</c:v>
                </c:pt>
                <c:pt idx="3">
                  <c:v>Alumina Production</c:v>
                </c:pt>
                <c:pt idx="4">
                  <c:v>Cement and Lime Manufacturing</c:v>
                </c:pt>
                <c:pt idx="5">
                  <c:v>Iron Ore Mining</c:v>
                </c:pt>
                <c:pt idx="6">
                  <c:v>Aircraft Manufacturing and Repair Services</c:v>
                </c:pt>
                <c:pt idx="7">
                  <c:v>Fertiliser Manufacturing</c:v>
                </c:pt>
                <c:pt idx="8">
                  <c:v>Petroleum Refining and Petroleum Fuel Manufacturing</c:v>
                </c:pt>
                <c:pt idx="9">
                  <c:v>Rail Freight Transport</c:v>
                </c:pt>
                <c:pt idx="10">
                  <c:v>Aluminium Smelting</c:v>
                </c:pt>
                <c:pt idx="11">
                  <c:v>Air and Space Transport</c:v>
                </c:pt>
                <c:pt idx="12">
                  <c:v>Waste Treatment and Disposal Services</c:v>
                </c:pt>
                <c:pt idx="13">
                  <c:v>Gas Supply</c:v>
                </c:pt>
                <c:pt idx="14">
                  <c:v>Gold Ore Mining</c:v>
                </c:pt>
                <c:pt idx="15">
                  <c:v>Explosive Manufacturing</c:v>
                </c:pt>
                <c:pt idx="16">
                  <c:v>Other Basic Non-Ferrous Metal Manufacturing</c:v>
                </c:pt>
                <c:pt idx="17">
                  <c:v>Basic Inorganic Chemical Manufacturing</c:v>
                </c:pt>
                <c:pt idx="18">
                  <c:v>Port and Water Transport Terminal Operations</c:v>
                </c:pt>
                <c:pt idx="19">
                  <c:v>Copper, Silver, Lead and Zinc Smelting and Refining</c:v>
                </c:pt>
                <c:pt idx="20">
                  <c:v>Nickel Ore Mining</c:v>
                </c:pt>
                <c:pt idx="21">
                  <c:v>Pulp, Paper and Paperboard Manufacturing</c:v>
                </c:pt>
                <c:pt idx="22">
                  <c:v>Mineral Sand Mining</c:v>
                </c:pt>
                <c:pt idx="23">
                  <c:v>Glass and Glass Product Manufacturing</c:v>
                </c:pt>
                <c:pt idx="24">
                  <c:v>Road Freight Transport</c:v>
                </c:pt>
                <c:pt idx="25">
                  <c:v>Copper Ore Mining</c:v>
                </c:pt>
                <c:pt idx="26">
                  <c:v>Basic Organic Chemical Manufacturing</c:v>
                </c:pt>
                <c:pt idx="27">
                  <c:v>Bauxite Mining</c:v>
                </c:pt>
                <c:pt idx="28">
                  <c:v>Other Food Product Manufacturing n.e.c.</c:v>
                </c:pt>
                <c:pt idx="29">
                  <c:v>Synthetic Resin and Synthetic Rubber Manufacturing</c:v>
                </c:pt>
                <c:pt idx="30">
                  <c:v>Other Metal Ore Mining</c:v>
                </c:pt>
                <c:pt idx="31">
                  <c:v>Silver-Lead-Zinc Ore Mining</c:v>
                </c:pt>
                <c:pt idx="32">
                  <c:v>Other Non-Metallic Mineral Product Manufacturing</c:v>
                </c:pt>
                <c:pt idx="33">
                  <c:v>Sewerage and Drainage Services</c:v>
                </c:pt>
                <c:pt idx="34">
                  <c:v>Water Freight Transport</c:v>
                </c:pt>
                <c:pt idx="35">
                  <c:v>Urban Bus Transport (Including Tramway)</c:v>
                </c:pt>
                <c:pt idx="36">
                  <c:v>Water Passenger Transport</c:v>
                </c:pt>
                <c:pt idx="37">
                  <c:v>Iron and Steel Casting</c:v>
                </c:pt>
                <c:pt idx="38">
                  <c:v>Rail Passenger Transport</c:v>
                </c:pt>
                <c:pt idx="39">
                  <c:v>Fossil Fuel Electricity Generation</c:v>
                </c:pt>
                <c:pt idx="40">
                  <c:v>Petroleum Product Wholesaling</c:v>
                </c:pt>
                <c:pt idx="41">
                  <c:v>Human Pharmaceutical and Medicinal Product Manufacturing</c:v>
                </c:pt>
                <c:pt idx="42">
                  <c:v>Accommodation</c:v>
                </c:pt>
                <c:pt idx="43">
                  <c:v>Adhesive Manufacturing</c:v>
                </c:pt>
                <c:pt idx="44">
                  <c:v>Airport Operations and Other Air Transport Support Services</c:v>
                </c:pt>
                <c:pt idx="45">
                  <c:v>Aluminium Rolling, Drawing, Extruding</c:v>
                </c:pt>
                <c:pt idx="46">
                  <c:v>Beef Cattle Farming (Specialised)</c:v>
                </c:pt>
                <c:pt idx="47">
                  <c:v>Beef Cattle Feedlots (Specialised)</c:v>
                </c:pt>
                <c:pt idx="48">
                  <c:v>Beer Manufacturing</c:v>
                </c:pt>
                <c:pt idx="49">
                  <c:v>Biscuit Manufacturing (Factory based)</c:v>
                </c:pt>
                <c:pt idx="50">
                  <c:v>Boatbuilding and Repair Services</c:v>
                </c:pt>
                <c:pt idx="51">
                  <c:v>Boiler, Tank and Other Heavy Gauge Metal Container Manufacturing</c:v>
                </c:pt>
                <c:pt idx="52">
                  <c:v>Bread Manufacturing (Factory based)</c:v>
                </c:pt>
                <c:pt idx="53">
                  <c:v>Cake and Pastry Manufacturing (Factory based)</c:v>
                </c:pt>
                <c:pt idx="54">
                  <c:v>Central Government Administration</c:v>
                </c:pt>
                <c:pt idx="55">
                  <c:v>Cereal, Pasta and Baking Mix Manufacturing</c:v>
                </c:pt>
                <c:pt idx="56">
                  <c:v>Cheese and Other Dairy Product Manufacturing</c:v>
                </c:pt>
                <c:pt idx="57">
                  <c:v>Cigarette and Tobacco Product Manufacturing</c:v>
                </c:pt>
                <c:pt idx="58">
                  <c:v>Clay Brick Manufacturing</c:v>
                </c:pt>
                <c:pt idx="59">
                  <c:v>Cleaning Compound Manufacturing</c:v>
                </c:pt>
                <c:pt idx="60">
                  <c:v>Clothing Manufacturing</c:v>
                </c:pt>
                <c:pt idx="61">
                  <c:v>Concrete Product Manufacturing</c:v>
                </c:pt>
                <c:pt idx="62">
                  <c:v>Concreting Services</c:v>
                </c:pt>
                <c:pt idx="63">
                  <c:v>Confectionery Manufacturing</c:v>
                </c:pt>
                <c:pt idx="64">
                  <c:v>Corrugated Paperboard and Paperboard Container Manufacturing</c:v>
                </c:pt>
                <c:pt idx="65">
                  <c:v>Cosmetic and Toiletry Preparation Manufacturing</c:v>
                </c:pt>
                <c:pt idx="66">
                  <c:v>Cured Meat and Smallgoods Manufacturing</c:v>
                </c:pt>
                <c:pt idx="67">
                  <c:v>Cut and Sewn Textile Product Manufacturing</c:v>
                </c:pt>
                <c:pt idx="68">
                  <c:v>Dairy Cattle Farming</c:v>
                </c:pt>
                <c:pt idx="69">
                  <c:v>Data Processing and Web Hosting Services</c:v>
                </c:pt>
                <c:pt idx="70">
                  <c:v>Defence</c:v>
                </c:pt>
                <c:pt idx="71">
                  <c:v>Electric Cable and Wire Manufacturing</c:v>
                </c:pt>
                <c:pt idx="72">
                  <c:v>Fixed Space Heating, Cooling and Ventilation Equipment Manufacturing</c:v>
                </c:pt>
                <c:pt idx="73">
                  <c:v>Fruit and Vegetable Processing</c:v>
                </c:pt>
                <c:pt idx="74">
                  <c:v>Funeral, Crematorium and Cemetery Services</c:v>
                </c:pt>
                <c:pt idx="75">
                  <c:v>Grain Mill Product Manufacturing</c:v>
                </c:pt>
                <c:pt idx="76">
                  <c:v>Grain Storage Services</c:v>
                </c:pt>
                <c:pt idx="77">
                  <c:v>Gravel and Sand Quarrying</c:v>
                </c:pt>
                <c:pt idx="78">
                  <c:v>Higher Education</c:v>
                </c:pt>
                <c:pt idx="79">
                  <c:v>Hospitals (Except Psychiatric Hospitals)</c:v>
                </c:pt>
                <c:pt idx="80">
                  <c:v>Hydro-Electricity Generation</c:v>
                </c:pt>
                <c:pt idx="81">
                  <c:v>Ice Cream Manufacturing</c:v>
                </c:pt>
                <c:pt idx="82">
                  <c:v>Industrial and Agricultural Chemical Product Wholesaling</c:v>
                </c:pt>
                <c:pt idx="83">
                  <c:v>Industrial Gas Manufacturing</c:v>
                </c:pt>
                <c:pt idx="84">
                  <c:v>Iron and Steel Forging</c:v>
                </c:pt>
                <c:pt idx="85">
                  <c:v>Jewellery and Silverware Manufacturing</c:v>
                </c:pt>
                <c:pt idx="86">
                  <c:v>Laundry and Dry-Cleaning Services</c:v>
                </c:pt>
                <c:pt idx="87">
                  <c:v>Leather Tanning, Fur Dressing and Leather Product Manufacturing</c:v>
                </c:pt>
                <c:pt idx="88">
                  <c:v>Log Sawmilling</c:v>
                </c:pt>
                <c:pt idx="89">
                  <c:v>Machine Tool and Parts Manufacturing</c:v>
                </c:pt>
                <c:pt idx="90">
                  <c:v>Meat Processing</c:v>
                </c:pt>
                <c:pt idx="91">
                  <c:v>Medical and Surgical Equipment Manufacturing</c:v>
                </c:pt>
                <c:pt idx="92">
                  <c:v>Metal Coating and Finishing</c:v>
                </c:pt>
                <c:pt idx="93">
                  <c:v>Milk and Cream Processing</c:v>
                </c:pt>
                <c:pt idx="94">
                  <c:v>Mineral Exploration</c:v>
                </c:pt>
                <c:pt idx="95">
                  <c:v>Mining and Construction Machinery Manufacturing</c:v>
                </c:pt>
                <c:pt idx="96">
                  <c:v>Motor Vehicle Manufacturing</c:v>
                </c:pt>
                <c:pt idx="97">
                  <c:v>Motor Vehicle New Parts Wholesaling</c:v>
                </c:pt>
                <c:pt idx="98">
                  <c:v>Natural Rubber Product Manufacturing</c:v>
                </c:pt>
                <c:pt idx="99">
                  <c:v>Natural Textile Manufacturing</c:v>
                </c:pt>
                <c:pt idx="100">
                  <c:v>Newspaper Publishing</c:v>
                </c:pt>
                <c:pt idx="101">
                  <c:v>Non-Ferrous Metal Casting</c:v>
                </c:pt>
                <c:pt idx="102">
                  <c:v>Nut, Bolt, Screw and Rivet Manufacturing</c:v>
                </c:pt>
                <c:pt idx="103">
                  <c:v>Office Administrative Services</c:v>
                </c:pt>
                <c:pt idx="104">
                  <c:v>Oil and Fat Manufacturing</c:v>
                </c:pt>
                <c:pt idx="105">
                  <c:v>Other Basic Chemical Product Manufacturing n.e.c.</c:v>
                </c:pt>
                <c:pt idx="106">
                  <c:v>Other Basic Non-Ferrous Metal Product Manufacturing</c:v>
                </c:pt>
                <c:pt idx="107">
                  <c:v>Other Basic Polymer Manufacturing</c:v>
                </c:pt>
                <c:pt idx="108">
                  <c:v>Other Ceramic Product Manufacturing</c:v>
                </c:pt>
                <c:pt idx="109">
                  <c:v>Other Construction Material Mining</c:v>
                </c:pt>
                <c:pt idx="110">
                  <c:v>Other Converted Paper Product Manufacturing</c:v>
                </c:pt>
                <c:pt idx="111">
                  <c:v>Other Electrical Equipment Manufacturing</c:v>
                </c:pt>
                <c:pt idx="112">
                  <c:v>Other Electricity Generation</c:v>
                </c:pt>
                <c:pt idx="113">
                  <c:v>Other Fabricated Metal Product Manufacturing n.e.c.</c:v>
                </c:pt>
                <c:pt idx="114">
                  <c:v>Other Manufacturing n.e.c.</c:v>
                </c:pt>
                <c:pt idx="115">
                  <c:v>Other Metal Container Manufacturing</c:v>
                </c:pt>
                <c:pt idx="116">
                  <c:v>Other Mining Support Services</c:v>
                </c:pt>
                <c:pt idx="117">
                  <c:v>Other Motor Vehicle Parts Manufacturing</c:v>
                </c:pt>
                <c:pt idx="118">
                  <c:v>Other Non-Metallic Mineral Mining and Quarrying</c:v>
                </c:pt>
                <c:pt idx="119">
                  <c:v>Other Petroleum and Coal Product Manufacturing</c:v>
                </c:pt>
                <c:pt idx="120">
                  <c:v>Other Polymer Product Manufacturing</c:v>
                </c:pt>
                <c:pt idx="121">
                  <c:v>Other Professional and Scientific Equipment Manufacturing</c:v>
                </c:pt>
                <c:pt idx="122">
                  <c:v>Other Specialised Machinery and Equipment Manufacturing</c:v>
                </c:pt>
                <c:pt idx="123">
                  <c:v>Other Structural Metal Product Manufacturing</c:v>
                </c:pt>
                <c:pt idx="124">
                  <c:v>Other Transport n.e.c.</c:v>
                </c:pt>
                <c:pt idx="125">
                  <c:v>Other Transport Support Services n.e.c.</c:v>
                </c:pt>
                <c:pt idx="126">
                  <c:v>Other Warehousing and Storage Services</c:v>
                </c:pt>
                <c:pt idx="127">
                  <c:v>Other Waste Collection Services</c:v>
                </c:pt>
                <c:pt idx="128">
                  <c:v>Other Wood Product Manufacturing n.e.c.</c:v>
                </c:pt>
                <c:pt idx="129">
                  <c:v>Packaging Services</c:v>
                </c:pt>
                <c:pt idx="130">
                  <c:v>Paint and Coatings Manufacturing</c:v>
                </c:pt>
                <c:pt idx="131">
                  <c:v>Paper Bag Manufacturing</c:v>
                </c:pt>
                <c:pt idx="132">
                  <c:v>Pesticide Manufacturing</c:v>
                </c:pt>
                <c:pt idx="133">
                  <c:v>Petroleum Exploration</c:v>
                </c:pt>
                <c:pt idx="134">
                  <c:v>Photographic, Optical and Ophthalmic Equipment Manufacturing</c:v>
                </c:pt>
                <c:pt idx="135">
                  <c:v>Pig Farming</c:v>
                </c:pt>
                <c:pt idx="136">
                  <c:v>Pipeline Transport</c:v>
                </c:pt>
                <c:pt idx="137">
                  <c:v>Plaster Product Manufacturing</c:v>
                </c:pt>
                <c:pt idx="138">
                  <c:v>Polymer Film and Sheet Packaging Material Manufacturing</c:v>
                </c:pt>
                <c:pt idx="139">
                  <c:v>Polymer Foam Product Manufacturing</c:v>
                </c:pt>
                <c:pt idx="140">
                  <c:v>Potato, Corn and Other Crisp Manufacturing</c:v>
                </c:pt>
                <c:pt idx="141">
                  <c:v>Poultry Farming (Eggs)</c:v>
                </c:pt>
                <c:pt idx="142">
                  <c:v>Poultry Farming (Meat)</c:v>
                </c:pt>
                <c:pt idx="143">
                  <c:v>Poultry Processing</c:v>
                </c:pt>
                <c:pt idx="144">
                  <c:v>Prepared Animal and Bird Feed Manufacturing</c:v>
                </c:pt>
                <c:pt idx="145">
                  <c:v>Printing</c:v>
                </c:pt>
                <c:pt idx="146">
                  <c:v>Printing Support Services</c:v>
                </c:pt>
                <c:pt idx="147">
                  <c:v>Railway Rolling Stock Manufacturing and Repair Services</c:v>
                </c:pt>
                <c:pt idx="148">
                  <c:v>Ready-Mixed Concrete Manufacturing</c:v>
                </c:pt>
                <c:pt idx="149">
                  <c:v>Reconstituted Wood Product Manufacturing</c:v>
                </c:pt>
                <c:pt idx="150">
                  <c:v>Rigid and Semi-Rigid Polymer Product Manufacturing</c:v>
                </c:pt>
                <c:pt idx="151">
                  <c:v>Scientific Research Services</c:v>
                </c:pt>
                <c:pt idx="152">
                  <c:v>Seafood Processing</c:v>
                </c:pt>
                <c:pt idx="153">
                  <c:v>Shipbuilding and Repair Services</c:v>
                </c:pt>
                <c:pt idx="154">
                  <c:v>Soft Drink, Cordial and Syrup Manufacturing</c:v>
                </c:pt>
                <c:pt idx="155">
                  <c:v>Solid Waste Collection Services</c:v>
                </c:pt>
                <c:pt idx="156">
                  <c:v>Spirit Manufacturing</c:v>
                </c:pt>
                <c:pt idx="157">
                  <c:v>Sports and Physical Recreation Venues, Grounds and Facilities Operation</c:v>
                </c:pt>
                <c:pt idx="158">
                  <c:v>Spring and Wire Product Manufacturing</c:v>
                </c:pt>
                <c:pt idx="159">
                  <c:v>Steel Pipe and Tube Manufacturing</c:v>
                </c:pt>
                <c:pt idx="160">
                  <c:v>Stevedoring Services</c:v>
                </c:pt>
                <c:pt idx="161">
                  <c:v>Structural Steel Fabricating</c:v>
                </c:pt>
                <c:pt idx="162">
                  <c:v>Sugar Manufacturing</c:v>
                </c:pt>
                <c:pt idx="163">
                  <c:v>Synthetic Textile Manufacturing</c:v>
                </c:pt>
                <c:pt idx="164">
                  <c:v>Textile Finishing and Other Textile Product Manufacturing</c:v>
                </c:pt>
                <c:pt idx="165">
                  <c:v>Textile Floor Covering Manufacturing</c:v>
                </c:pt>
                <c:pt idx="166">
                  <c:v>Timber Resawing and Dressing</c:v>
                </c:pt>
                <c:pt idx="167">
                  <c:v>Timber Wholesaling</c:v>
                </c:pt>
                <c:pt idx="168">
                  <c:v>Tyre Manufacturing</c:v>
                </c:pt>
                <c:pt idx="169">
                  <c:v>Veneer and Plywood Manufacturing</c:v>
                </c:pt>
                <c:pt idx="170">
                  <c:v>Veterinary Pharmaceutical and Medicinal Product Manufacturing</c:v>
                </c:pt>
                <c:pt idx="171">
                  <c:v>Waste Remediation and Materials Recovery Services</c:v>
                </c:pt>
                <c:pt idx="172">
                  <c:v>Water Supply</c:v>
                </c:pt>
                <c:pt idx="173">
                  <c:v>Whiteware Appliance Manufacturing</c:v>
                </c:pt>
                <c:pt idx="174">
                  <c:v>Wine and Other Alcoholic Beverage Manufacturing</c:v>
                </c:pt>
                <c:pt idx="175">
                  <c:v>Wood Chipping</c:v>
                </c:pt>
                <c:pt idx="176">
                  <c:v>Wooden Furniture and Upholstered Seat Manufacturing</c:v>
                </c:pt>
                <c:pt idx="177">
                  <c:v>Wooden Structural Fitting and Component Manufacturing</c:v>
                </c:pt>
                <c:pt idx="178">
                  <c:v>Wool Scouring</c:v>
                </c:pt>
              </c:strCache>
            </c:strRef>
          </c:cat>
          <c:val>
            <c:numRef>
              <c:f>'Figure 4 Baselines by activity'!$D$3:$D$181</c:f>
              <c:numCache>
                <c:formatCode>#,##0</c:formatCode>
                <c:ptCount val="179"/>
                <c:pt idx="0">
                  <c:v>56820673</c:v>
                </c:pt>
                <c:pt idx="1">
                  <c:v>54719881</c:v>
                </c:pt>
                <c:pt idx="2">
                  <c:v>14191733</c:v>
                </c:pt>
                <c:pt idx="3">
                  <c:v>13796651</c:v>
                </c:pt>
                <c:pt idx="4">
                  <c:v>7746596</c:v>
                </c:pt>
                <c:pt idx="5">
                  <c:v>5083630</c:v>
                </c:pt>
                <c:pt idx="6">
                  <c:v>4698510</c:v>
                </c:pt>
                <c:pt idx="7">
                  <c:v>3984683</c:v>
                </c:pt>
                <c:pt idx="8">
                  <c:v>3422950</c:v>
                </c:pt>
                <c:pt idx="9">
                  <c:v>3406049</c:v>
                </c:pt>
                <c:pt idx="10">
                  <c:v>3384593</c:v>
                </c:pt>
                <c:pt idx="11">
                  <c:v>2821239</c:v>
                </c:pt>
                <c:pt idx="12">
                  <c:v>2718275</c:v>
                </c:pt>
                <c:pt idx="13">
                  <c:v>2772544</c:v>
                </c:pt>
                <c:pt idx="14">
                  <c:v>2099656</c:v>
                </c:pt>
                <c:pt idx="15">
                  <c:v>1981779</c:v>
                </c:pt>
                <c:pt idx="16">
                  <c:v>1933443</c:v>
                </c:pt>
                <c:pt idx="17">
                  <c:v>1900066</c:v>
                </c:pt>
                <c:pt idx="18">
                  <c:v>1403024</c:v>
                </c:pt>
                <c:pt idx="19">
                  <c:v>1246646</c:v>
                </c:pt>
                <c:pt idx="20">
                  <c:v>853949</c:v>
                </c:pt>
                <c:pt idx="21">
                  <c:v>842681</c:v>
                </c:pt>
                <c:pt idx="22">
                  <c:v>798483</c:v>
                </c:pt>
                <c:pt idx="23">
                  <c:v>709591</c:v>
                </c:pt>
                <c:pt idx="24">
                  <c:v>573297</c:v>
                </c:pt>
                <c:pt idx="25">
                  <c:v>569120</c:v>
                </c:pt>
                <c:pt idx="26">
                  <c:v>488720</c:v>
                </c:pt>
                <c:pt idx="27">
                  <c:v>379820</c:v>
                </c:pt>
                <c:pt idx="28">
                  <c:v>338959</c:v>
                </c:pt>
                <c:pt idx="29">
                  <c:v>364892</c:v>
                </c:pt>
                <c:pt idx="30">
                  <c:v>334191</c:v>
                </c:pt>
                <c:pt idx="31">
                  <c:v>277564</c:v>
                </c:pt>
                <c:pt idx="32">
                  <c:v>357739</c:v>
                </c:pt>
                <c:pt idx="33">
                  <c:v>269128</c:v>
                </c:pt>
                <c:pt idx="34">
                  <c:v>216744</c:v>
                </c:pt>
                <c:pt idx="35">
                  <c:v>159748</c:v>
                </c:pt>
                <c:pt idx="36">
                  <c:v>152460</c:v>
                </c:pt>
                <c:pt idx="37">
                  <c:v>252862</c:v>
                </c:pt>
                <c:pt idx="38">
                  <c:v>128474</c:v>
                </c:pt>
                <c:pt idx="39">
                  <c:v>106831</c:v>
                </c:pt>
                <c:pt idx="40">
                  <c:v>100000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2-768A-4004-B3B3-90B0C08335C3}"/>
            </c:ext>
          </c:extLst>
        </c:ser>
        <c:ser>
          <c:idx val="3"/>
          <c:order val="3"/>
          <c:tx>
            <c:v>2019-20</c:v>
          </c:tx>
          <c:spPr>
            <a:solidFill>
              <a:srgbClr val="00B398"/>
            </a:solidFill>
            <a:ln cmpd="sng">
              <a:solidFill>
                <a:srgbClr val="000000"/>
              </a:solidFill>
            </a:ln>
          </c:spPr>
          <c:invertIfNegative val="1"/>
          <c:cat>
            <c:strRef>
              <c:f>'Figure 4 Baselines by activity'!$A$3:$A$181</c:f>
              <c:strCache>
                <c:ptCount val="179"/>
                <c:pt idx="0">
                  <c:v>Coal Mining</c:v>
                </c:pt>
                <c:pt idx="1">
                  <c:v>Oil and Gas Extraction</c:v>
                </c:pt>
                <c:pt idx="2">
                  <c:v>Iron Smelting and Steel Manufacturing</c:v>
                </c:pt>
                <c:pt idx="3">
                  <c:v>Alumina Production</c:v>
                </c:pt>
                <c:pt idx="4">
                  <c:v>Cement and Lime Manufacturing</c:v>
                </c:pt>
                <c:pt idx="5">
                  <c:v>Iron Ore Mining</c:v>
                </c:pt>
                <c:pt idx="6">
                  <c:v>Aircraft Manufacturing and Repair Services</c:v>
                </c:pt>
                <c:pt idx="7">
                  <c:v>Fertiliser Manufacturing</c:v>
                </c:pt>
                <c:pt idx="8">
                  <c:v>Petroleum Refining and Petroleum Fuel Manufacturing</c:v>
                </c:pt>
                <c:pt idx="9">
                  <c:v>Rail Freight Transport</c:v>
                </c:pt>
                <c:pt idx="10">
                  <c:v>Aluminium Smelting</c:v>
                </c:pt>
                <c:pt idx="11">
                  <c:v>Air and Space Transport</c:v>
                </c:pt>
                <c:pt idx="12">
                  <c:v>Waste Treatment and Disposal Services</c:v>
                </c:pt>
                <c:pt idx="13">
                  <c:v>Gas Supply</c:v>
                </c:pt>
                <c:pt idx="14">
                  <c:v>Gold Ore Mining</c:v>
                </c:pt>
                <c:pt idx="15">
                  <c:v>Explosive Manufacturing</c:v>
                </c:pt>
                <c:pt idx="16">
                  <c:v>Other Basic Non-Ferrous Metal Manufacturing</c:v>
                </c:pt>
                <c:pt idx="17">
                  <c:v>Basic Inorganic Chemical Manufacturing</c:v>
                </c:pt>
                <c:pt idx="18">
                  <c:v>Port and Water Transport Terminal Operations</c:v>
                </c:pt>
                <c:pt idx="19">
                  <c:v>Copper, Silver, Lead and Zinc Smelting and Refining</c:v>
                </c:pt>
                <c:pt idx="20">
                  <c:v>Nickel Ore Mining</c:v>
                </c:pt>
                <c:pt idx="21">
                  <c:v>Pulp, Paper and Paperboard Manufacturing</c:v>
                </c:pt>
                <c:pt idx="22">
                  <c:v>Mineral Sand Mining</c:v>
                </c:pt>
                <c:pt idx="23">
                  <c:v>Glass and Glass Product Manufacturing</c:v>
                </c:pt>
                <c:pt idx="24">
                  <c:v>Road Freight Transport</c:v>
                </c:pt>
                <c:pt idx="25">
                  <c:v>Copper Ore Mining</c:v>
                </c:pt>
                <c:pt idx="26">
                  <c:v>Basic Organic Chemical Manufacturing</c:v>
                </c:pt>
                <c:pt idx="27">
                  <c:v>Bauxite Mining</c:v>
                </c:pt>
                <c:pt idx="28">
                  <c:v>Other Food Product Manufacturing n.e.c.</c:v>
                </c:pt>
                <c:pt idx="29">
                  <c:v>Synthetic Resin and Synthetic Rubber Manufacturing</c:v>
                </c:pt>
                <c:pt idx="30">
                  <c:v>Other Metal Ore Mining</c:v>
                </c:pt>
                <c:pt idx="31">
                  <c:v>Silver-Lead-Zinc Ore Mining</c:v>
                </c:pt>
                <c:pt idx="32">
                  <c:v>Other Non-Metallic Mineral Product Manufacturing</c:v>
                </c:pt>
                <c:pt idx="33">
                  <c:v>Sewerage and Drainage Services</c:v>
                </c:pt>
                <c:pt idx="34">
                  <c:v>Water Freight Transport</c:v>
                </c:pt>
                <c:pt idx="35">
                  <c:v>Urban Bus Transport (Including Tramway)</c:v>
                </c:pt>
                <c:pt idx="36">
                  <c:v>Water Passenger Transport</c:v>
                </c:pt>
                <c:pt idx="37">
                  <c:v>Iron and Steel Casting</c:v>
                </c:pt>
                <c:pt idx="38">
                  <c:v>Rail Passenger Transport</c:v>
                </c:pt>
                <c:pt idx="39">
                  <c:v>Fossil Fuel Electricity Generation</c:v>
                </c:pt>
                <c:pt idx="40">
                  <c:v>Petroleum Product Wholesaling</c:v>
                </c:pt>
                <c:pt idx="41">
                  <c:v>Human Pharmaceutical and Medicinal Product Manufacturing</c:v>
                </c:pt>
                <c:pt idx="42">
                  <c:v>Accommodation</c:v>
                </c:pt>
                <c:pt idx="43">
                  <c:v>Adhesive Manufacturing</c:v>
                </c:pt>
                <c:pt idx="44">
                  <c:v>Airport Operations and Other Air Transport Support Services</c:v>
                </c:pt>
                <c:pt idx="45">
                  <c:v>Aluminium Rolling, Drawing, Extruding</c:v>
                </c:pt>
                <c:pt idx="46">
                  <c:v>Beef Cattle Farming (Specialised)</c:v>
                </c:pt>
                <c:pt idx="47">
                  <c:v>Beef Cattle Feedlots (Specialised)</c:v>
                </c:pt>
                <c:pt idx="48">
                  <c:v>Beer Manufacturing</c:v>
                </c:pt>
                <c:pt idx="49">
                  <c:v>Biscuit Manufacturing (Factory based)</c:v>
                </c:pt>
                <c:pt idx="50">
                  <c:v>Boatbuilding and Repair Services</c:v>
                </c:pt>
                <c:pt idx="51">
                  <c:v>Boiler, Tank and Other Heavy Gauge Metal Container Manufacturing</c:v>
                </c:pt>
                <c:pt idx="52">
                  <c:v>Bread Manufacturing (Factory based)</c:v>
                </c:pt>
                <c:pt idx="53">
                  <c:v>Cake and Pastry Manufacturing (Factory based)</c:v>
                </c:pt>
                <c:pt idx="54">
                  <c:v>Central Government Administration</c:v>
                </c:pt>
                <c:pt idx="55">
                  <c:v>Cereal, Pasta and Baking Mix Manufacturing</c:v>
                </c:pt>
                <c:pt idx="56">
                  <c:v>Cheese and Other Dairy Product Manufacturing</c:v>
                </c:pt>
                <c:pt idx="57">
                  <c:v>Cigarette and Tobacco Product Manufacturing</c:v>
                </c:pt>
                <c:pt idx="58">
                  <c:v>Clay Brick Manufacturing</c:v>
                </c:pt>
                <c:pt idx="59">
                  <c:v>Cleaning Compound Manufacturing</c:v>
                </c:pt>
                <c:pt idx="60">
                  <c:v>Clothing Manufacturing</c:v>
                </c:pt>
                <c:pt idx="61">
                  <c:v>Concrete Product Manufacturing</c:v>
                </c:pt>
                <c:pt idx="62">
                  <c:v>Concreting Services</c:v>
                </c:pt>
                <c:pt idx="63">
                  <c:v>Confectionery Manufacturing</c:v>
                </c:pt>
                <c:pt idx="64">
                  <c:v>Corrugated Paperboard and Paperboard Container Manufacturing</c:v>
                </c:pt>
                <c:pt idx="65">
                  <c:v>Cosmetic and Toiletry Preparation Manufacturing</c:v>
                </c:pt>
                <c:pt idx="66">
                  <c:v>Cured Meat and Smallgoods Manufacturing</c:v>
                </c:pt>
                <c:pt idx="67">
                  <c:v>Cut and Sewn Textile Product Manufacturing</c:v>
                </c:pt>
                <c:pt idx="68">
                  <c:v>Dairy Cattle Farming</c:v>
                </c:pt>
                <c:pt idx="69">
                  <c:v>Data Processing and Web Hosting Services</c:v>
                </c:pt>
                <c:pt idx="70">
                  <c:v>Defence</c:v>
                </c:pt>
                <c:pt idx="71">
                  <c:v>Electric Cable and Wire Manufacturing</c:v>
                </c:pt>
                <c:pt idx="72">
                  <c:v>Fixed Space Heating, Cooling and Ventilation Equipment Manufacturing</c:v>
                </c:pt>
                <c:pt idx="73">
                  <c:v>Fruit and Vegetable Processing</c:v>
                </c:pt>
                <c:pt idx="74">
                  <c:v>Funeral, Crematorium and Cemetery Services</c:v>
                </c:pt>
                <c:pt idx="75">
                  <c:v>Grain Mill Product Manufacturing</c:v>
                </c:pt>
                <c:pt idx="76">
                  <c:v>Grain Storage Services</c:v>
                </c:pt>
                <c:pt idx="77">
                  <c:v>Gravel and Sand Quarrying</c:v>
                </c:pt>
                <c:pt idx="78">
                  <c:v>Higher Education</c:v>
                </c:pt>
                <c:pt idx="79">
                  <c:v>Hospitals (Except Psychiatric Hospitals)</c:v>
                </c:pt>
                <c:pt idx="80">
                  <c:v>Hydro-Electricity Generation</c:v>
                </c:pt>
                <c:pt idx="81">
                  <c:v>Ice Cream Manufacturing</c:v>
                </c:pt>
                <c:pt idx="82">
                  <c:v>Industrial and Agricultural Chemical Product Wholesaling</c:v>
                </c:pt>
                <c:pt idx="83">
                  <c:v>Industrial Gas Manufacturing</c:v>
                </c:pt>
                <c:pt idx="84">
                  <c:v>Iron and Steel Forging</c:v>
                </c:pt>
                <c:pt idx="85">
                  <c:v>Jewellery and Silverware Manufacturing</c:v>
                </c:pt>
                <c:pt idx="86">
                  <c:v>Laundry and Dry-Cleaning Services</c:v>
                </c:pt>
                <c:pt idx="87">
                  <c:v>Leather Tanning, Fur Dressing and Leather Product Manufacturing</c:v>
                </c:pt>
                <c:pt idx="88">
                  <c:v>Log Sawmilling</c:v>
                </c:pt>
                <c:pt idx="89">
                  <c:v>Machine Tool and Parts Manufacturing</c:v>
                </c:pt>
                <c:pt idx="90">
                  <c:v>Meat Processing</c:v>
                </c:pt>
                <c:pt idx="91">
                  <c:v>Medical and Surgical Equipment Manufacturing</c:v>
                </c:pt>
                <c:pt idx="92">
                  <c:v>Metal Coating and Finishing</c:v>
                </c:pt>
                <c:pt idx="93">
                  <c:v>Milk and Cream Processing</c:v>
                </c:pt>
                <c:pt idx="94">
                  <c:v>Mineral Exploration</c:v>
                </c:pt>
                <c:pt idx="95">
                  <c:v>Mining and Construction Machinery Manufacturing</c:v>
                </c:pt>
                <c:pt idx="96">
                  <c:v>Motor Vehicle Manufacturing</c:v>
                </c:pt>
                <c:pt idx="97">
                  <c:v>Motor Vehicle New Parts Wholesaling</c:v>
                </c:pt>
                <c:pt idx="98">
                  <c:v>Natural Rubber Product Manufacturing</c:v>
                </c:pt>
                <c:pt idx="99">
                  <c:v>Natural Textile Manufacturing</c:v>
                </c:pt>
                <c:pt idx="100">
                  <c:v>Newspaper Publishing</c:v>
                </c:pt>
                <c:pt idx="101">
                  <c:v>Non-Ferrous Metal Casting</c:v>
                </c:pt>
                <c:pt idx="102">
                  <c:v>Nut, Bolt, Screw and Rivet Manufacturing</c:v>
                </c:pt>
                <c:pt idx="103">
                  <c:v>Office Administrative Services</c:v>
                </c:pt>
                <c:pt idx="104">
                  <c:v>Oil and Fat Manufacturing</c:v>
                </c:pt>
                <c:pt idx="105">
                  <c:v>Other Basic Chemical Product Manufacturing n.e.c.</c:v>
                </c:pt>
                <c:pt idx="106">
                  <c:v>Other Basic Non-Ferrous Metal Product Manufacturing</c:v>
                </c:pt>
                <c:pt idx="107">
                  <c:v>Other Basic Polymer Manufacturing</c:v>
                </c:pt>
                <c:pt idx="108">
                  <c:v>Other Ceramic Product Manufacturing</c:v>
                </c:pt>
                <c:pt idx="109">
                  <c:v>Other Construction Material Mining</c:v>
                </c:pt>
                <c:pt idx="110">
                  <c:v>Other Converted Paper Product Manufacturing</c:v>
                </c:pt>
                <c:pt idx="111">
                  <c:v>Other Electrical Equipment Manufacturing</c:v>
                </c:pt>
                <c:pt idx="112">
                  <c:v>Other Electricity Generation</c:v>
                </c:pt>
                <c:pt idx="113">
                  <c:v>Other Fabricated Metal Product Manufacturing n.e.c.</c:v>
                </c:pt>
                <c:pt idx="114">
                  <c:v>Other Manufacturing n.e.c.</c:v>
                </c:pt>
                <c:pt idx="115">
                  <c:v>Other Metal Container Manufacturing</c:v>
                </c:pt>
                <c:pt idx="116">
                  <c:v>Other Mining Support Services</c:v>
                </c:pt>
                <c:pt idx="117">
                  <c:v>Other Motor Vehicle Parts Manufacturing</c:v>
                </c:pt>
                <c:pt idx="118">
                  <c:v>Other Non-Metallic Mineral Mining and Quarrying</c:v>
                </c:pt>
                <c:pt idx="119">
                  <c:v>Other Petroleum and Coal Product Manufacturing</c:v>
                </c:pt>
                <c:pt idx="120">
                  <c:v>Other Polymer Product Manufacturing</c:v>
                </c:pt>
                <c:pt idx="121">
                  <c:v>Other Professional and Scientific Equipment Manufacturing</c:v>
                </c:pt>
                <c:pt idx="122">
                  <c:v>Other Specialised Machinery and Equipment Manufacturing</c:v>
                </c:pt>
                <c:pt idx="123">
                  <c:v>Other Structural Metal Product Manufacturing</c:v>
                </c:pt>
                <c:pt idx="124">
                  <c:v>Other Transport n.e.c.</c:v>
                </c:pt>
                <c:pt idx="125">
                  <c:v>Other Transport Support Services n.e.c.</c:v>
                </c:pt>
                <c:pt idx="126">
                  <c:v>Other Warehousing and Storage Services</c:v>
                </c:pt>
                <c:pt idx="127">
                  <c:v>Other Waste Collection Services</c:v>
                </c:pt>
                <c:pt idx="128">
                  <c:v>Other Wood Product Manufacturing n.e.c.</c:v>
                </c:pt>
                <c:pt idx="129">
                  <c:v>Packaging Services</c:v>
                </c:pt>
                <c:pt idx="130">
                  <c:v>Paint and Coatings Manufacturing</c:v>
                </c:pt>
                <c:pt idx="131">
                  <c:v>Paper Bag Manufacturing</c:v>
                </c:pt>
                <c:pt idx="132">
                  <c:v>Pesticide Manufacturing</c:v>
                </c:pt>
                <c:pt idx="133">
                  <c:v>Petroleum Exploration</c:v>
                </c:pt>
                <c:pt idx="134">
                  <c:v>Photographic, Optical and Ophthalmic Equipment Manufacturing</c:v>
                </c:pt>
                <c:pt idx="135">
                  <c:v>Pig Farming</c:v>
                </c:pt>
                <c:pt idx="136">
                  <c:v>Pipeline Transport</c:v>
                </c:pt>
                <c:pt idx="137">
                  <c:v>Plaster Product Manufacturing</c:v>
                </c:pt>
                <c:pt idx="138">
                  <c:v>Polymer Film and Sheet Packaging Material Manufacturing</c:v>
                </c:pt>
                <c:pt idx="139">
                  <c:v>Polymer Foam Product Manufacturing</c:v>
                </c:pt>
                <c:pt idx="140">
                  <c:v>Potato, Corn and Other Crisp Manufacturing</c:v>
                </c:pt>
                <c:pt idx="141">
                  <c:v>Poultry Farming (Eggs)</c:v>
                </c:pt>
                <c:pt idx="142">
                  <c:v>Poultry Farming (Meat)</c:v>
                </c:pt>
                <c:pt idx="143">
                  <c:v>Poultry Processing</c:v>
                </c:pt>
                <c:pt idx="144">
                  <c:v>Prepared Animal and Bird Feed Manufacturing</c:v>
                </c:pt>
                <c:pt idx="145">
                  <c:v>Printing</c:v>
                </c:pt>
                <c:pt idx="146">
                  <c:v>Printing Support Services</c:v>
                </c:pt>
                <c:pt idx="147">
                  <c:v>Railway Rolling Stock Manufacturing and Repair Services</c:v>
                </c:pt>
                <c:pt idx="148">
                  <c:v>Ready-Mixed Concrete Manufacturing</c:v>
                </c:pt>
                <c:pt idx="149">
                  <c:v>Reconstituted Wood Product Manufacturing</c:v>
                </c:pt>
                <c:pt idx="150">
                  <c:v>Rigid and Semi-Rigid Polymer Product Manufacturing</c:v>
                </c:pt>
                <c:pt idx="151">
                  <c:v>Scientific Research Services</c:v>
                </c:pt>
                <c:pt idx="152">
                  <c:v>Seafood Processing</c:v>
                </c:pt>
                <c:pt idx="153">
                  <c:v>Shipbuilding and Repair Services</c:v>
                </c:pt>
                <c:pt idx="154">
                  <c:v>Soft Drink, Cordial and Syrup Manufacturing</c:v>
                </c:pt>
                <c:pt idx="155">
                  <c:v>Solid Waste Collection Services</c:v>
                </c:pt>
                <c:pt idx="156">
                  <c:v>Spirit Manufacturing</c:v>
                </c:pt>
                <c:pt idx="157">
                  <c:v>Sports and Physical Recreation Venues, Grounds and Facilities Operation</c:v>
                </c:pt>
                <c:pt idx="158">
                  <c:v>Spring and Wire Product Manufacturing</c:v>
                </c:pt>
                <c:pt idx="159">
                  <c:v>Steel Pipe and Tube Manufacturing</c:v>
                </c:pt>
                <c:pt idx="160">
                  <c:v>Stevedoring Services</c:v>
                </c:pt>
                <c:pt idx="161">
                  <c:v>Structural Steel Fabricating</c:v>
                </c:pt>
                <c:pt idx="162">
                  <c:v>Sugar Manufacturing</c:v>
                </c:pt>
                <c:pt idx="163">
                  <c:v>Synthetic Textile Manufacturing</c:v>
                </c:pt>
                <c:pt idx="164">
                  <c:v>Textile Finishing and Other Textile Product Manufacturing</c:v>
                </c:pt>
                <c:pt idx="165">
                  <c:v>Textile Floor Covering Manufacturing</c:v>
                </c:pt>
                <c:pt idx="166">
                  <c:v>Timber Resawing and Dressing</c:v>
                </c:pt>
                <c:pt idx="167">
                  <c:v>Timber Wholesaling</c:v>
                </c:pt>
                <c:pt idx="168">
                  <c:v>Tyre Manufacturing</c:v>
                </c:pt>
                <c:pt idx="169">
                  <c:v>Veneer and Plywood Manufacturing</c:v>
                </c:pt>
                <c:pt idx="170">
                  <c:v>Veterinary Pharmaceutical and Medicinal Product Manufacturing</c:v>
                </c:pt>
                <c:pt idx="171">
                  <c:v>Waste Remediation and Materials Recovery Services</c:v>
                </c:pt>
                <c:pt idx="172">
                  <c:v>Water Supply</c:v>
                </c:pt>
                <c:pt idx="173">
                  <c:v>Whiteware Appliance Manufacturing</c:v>
                </c:pt>
                <c:pt idx="174">
                  <c:v>Wine and Other Alcoholic Beverage Manufacturing</c:v>
                </c:pt>
                <c:pt idx="175">
                  <c:v>Wood Chipping</c:v>
                </c:pt>
                <c:pt idx="176">
                  <c:v>Wooden Furniture and Upholstered Seat Manufacturing</c:v>
                </c:pt>
                <c:pt idx="177">
                  <c:v>Wooden Structural Fitting and Component Manufacturing</c:v>
                </c:pt>
                <c:pt idx="178">
                  <c:v>Wool Scouring</c:v>
                </c:pt>
              </c:strCache>
            </c:strRef>
          </c:cat>
          <c:val>
            <c:numRef>
              <c:f>'Figure 4 Baselines by activity'!$E$3:$E$181</c:f>
              <c:numCache>
                <c:formatCode>#,##0</c:formatCode>
                <c:ptCount val="179"/>
                <c:pt idx="0">
                  <c:v>60600178</c:v>
                </c:pt>
                <c:pt idx="1">
                  <c:v>55353530</c:v>
                </c:pt>
                <c:pt idx="2">
                  <c:v>14345309</c:v>
                </c:pt>
                <c:pt idx="3">
                  <c:v>13715837</c:v>
                </c:pt>
                <c:pt idx="4">
                  <c:v>7746873</c:v>
                </c:pt>
                <c:pt idx="5">
                  <c:v>5435422</c:v>
                </c:pt>
                <c:pt idx="6">
                  <c:v>4698510</c:v>
                </c:pt>
                <c:pt idx="7">
                  <c:v>4037618</c:v>
                </c:pt>
                <c:pt idx="8">
                  <c:v>3422950</c:v>
                </c:pt>
                <c:pt idx="9">
                  <c:v>3574151</c:v>
                </c:pt>
                <c:pt idx="10">
                  <c:v>3264523</c:v>
                </c:pt>
                <c:pt idx="11">
                  <c:v>2821239</c:v>
                </c:pt>
                <c:pt idx="12">
                  <c:v>2718275</c:v>
                </c:pt>
                <c:pt idx="13">
                  <c:v>2873215</c:v>
                </c:pt>
                <c:pt idx="14">
                  <c:v>2568555</c:v>
                </c:pt>
                <c:pt idx="15">
                  <c:v>1948631</c:v>
                </c:pt>
                <c:pt idx="16">
                  <c:v>1933443</c:v>
                </c:pt>
                <c:pt idx="17">
                  <c:v>1375949</c:v>
                </c:pt>
                <c:pt idx="18">
                  <c:v>1789024</c:v>
                </c:pt>
                <c:pt idx="19">
                  <c:v>1246646</c:v>
                </c:pt>
                <c:pt idx="20">
                  <c:v>853949</c:v>
                </c:pt>
                <c:pt idx="21">
                  <c:v>842681</c:v>
                </c:pt>
                <c:pt idx="22">
                  <c:v>798483</c:v>
                </c:pt>
                <c:pt idx="23">
                  <c:v>709591</c:v>
                </c:pt>
                <c:pt idx="24">
                  <c:v>573297</c:v>
                </c:pt>
                <c:pt idx="25">
                  <c:v>569778</c:v>
                </c:pt>
                <c:pt idx="26">
                  <c:v>488720</c:v>
                </c:pt>
                <c:pt idx="27">
                  <c:v>427501</c:v>
                </c:pt>
                <c:pt idx="28">
                  <c:v>477214</c:v>
                </c:pt>
                <c:pt idx="29">
                  <c:v>364892</c:v>
                </c:pt>
                <c:pt idx="30">
                  <c:v>353998</c:v>
                </c:pt>
                <c:pt idx="31">
                  <c:v>403705</c:v>
                </c:pt>
                <c:pt idx="32">
                  <c:v>94090</c:v>
                </c:pt>
                <c:pt idx="33">
                  <c:v>269466</c:v>
                </c:pt>
                <c:pt idx="34">
                  <c:v>216744</c:v>
                </c:pt>
                <c:pt idx="35">
                  <c:v>159748</c:v>
                </c:pt>
                <c:pt idx="36">
                  <c:v>152878</c:v>
                </c:pt>
                <c:pt idx="37">
                  <c:v>252862</c:v>
                </c:pt>
                <c:pt idx="38">
                  <c:v>128474</c:v>
                </c:pt>
                <c:pt idx="39">
                  <c:v>106831</c:v>
                </c:pt>
                <c:pt idx="40">
                  <c:v>100000</c:v>
                </c:pt>
                <c:pt idx="41">
                  <c:v>100549</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3-768A-4004-B3B3-90B0C08335C3}"/>
            </c:ext>
          </c:extLst>
        </c:ser>
        <c:ser>
          <c:idx val="4"/>
          <c:order val="4"/>
          <c:tx>
            <c:v>2020-21</c:v>
          </c:tx>
          <c:spPr>
            <a:solidFill>
              <a:srgbClr val="007966"/>
            </a:solidFill>
            <a:ln cmpd="sng">
              <a:solidFill>
                <a:srgbClr val="000000"/>
              </a:solidFill>
            </a:ln>
          </c:spPr>
          <c:invertIfNegative val="1"/>
          <c:cat>
            <c:strRef>
              <c:f>'Figure 4 Baselines by activity'!$A$3:$A$181</c:f>
              <c:strCache>
                <c:ptCount val="179"/>
                <c:pt idx="0">
                  <c:v>Coal Mining</c:v>
                </c:pt>
                <c:pt idx="1">
                  <c:v>Oil and Gas Extraction</c:v>
                </c:pt>
                <c:pt idx="2">
                  <c:v>Iron Smelting and Steel Manufacturing</c:v>
                </c:pt>
                <c:pt idx="3">
                  <c:v>Alumina Production</c:v>
                </c:pt>
                <c:pt idx="4">
                  <c:v>Cement and Lime Manufacturing</c:v>
                </c:pt>
                <c:pt idx="5">
                  <c:v>Iron Ore Mining</c:v>
                </c:pt>
                <c:pt idx="6">
                  <c:v>Aircraft Manufacturing and Repair Services</c:v>
                </c:pt>
                <c:pt idx="7">
                  <c:v>Fertiliser Manufacturing</c:v>
                </c:pt>
                <c:pt idx="8">
                  <c:v>Petroleum Refining and Petroleum Fuel Manufacturing</c:v>
                </c:pt>
                <c:pt idx="9">
                  <c:v>Rail Freight Transport</c:v>
                </c:pt>
                <c:pt idx="10">
                  <c:v>Aluminium Smelting</c:v>
                </c:pt>
                <c:pt idx="11">
                  <c:v>Air and Space Transport</c:v>
                </c:pt>
                <c:pt idx="12">
                  <c:v>Waste Treatment and Disposal Services</c:v>
                </c:pt>
                <c:pt idx="13">
                  <c:v>Gas Supply</c:v>
                </c:pt>
                <c:pt idx="14">
                  <c:v>Gold Ore Mining</c:v>
                </c:pt>
                <c:pt idx="15">
                  <c:v>Explosive Manufacturing</c:v>
                </c:pt>
                <c:pt idx="16">
                  <c:v>Other Basic Non-Ferrous Metal Manufacturing</c:v>
                </c:pt>
                <c:pt idx="17">
                  <c:v>Basic Inorganic Chemical Manufacturing</c:v>
                </c:pt>
                <c:pt idx="18">
                  <c:v>Port and Water Transport Terminal Operations</c:v>
                </c:pt>
                <c:pt idx="19">
                  <c:v>Copper, Silver, Lead and Zinc Smelting and Refining</c:v>
                </c:pt>
                <c:pt idx="20">
                  <c:v>Nickel Ore Mining</c:v>
                </c:pt>
                <c:pt idx="21">
                  <c:v>Pulp, Paper and Paperboard Manufacturing</c:v>
                </c:pt>
                <c:pt idx="22">
                  <c:v>Mineral Sand Mining</c:v>
                </c:pt>
                <c:pt idx="23">
                  <c:v>Glass and Glass Product Manufacturing</c:v>
                </c:pt>
                <c:pt idx="24">
                  <c:v>Road Freight Transport</c:v>
                </c:pt>
                <c:pt idx="25">
                  <c:v>Copper Ore Mining</c:v>
                </c:pt>
                <c:pt idx="26">
                  <c:v>Basic Organic Chemical Manufacturing</c:v>
                </c:pt>
                <c:pt idx="27">
                  <c:v>Bauxite Mining</c:v>
                </c:pt>
                <c:pt idx="28">
                  <c:v>Other Food Product Manufacturing n.e.c.</c:v>
                </c:pt>
                <c:pt idx="29">
                  <c:v>Synthetic Resin and Synthetic Rubber Manufacturing</c:v>
                </c:pt>
                <c:pt idx="30">
                  <c:v>Other Metal Ore Mining</c:v>
                </c:pt>
                <c:pt idx="31">
                  <c:v>Silver-Lead-Zinc Ore Mining</c:v>
                </c:pt>
                <c:pt idx="32">
                  <c:v>Other Non-Metallic Mineral Product Manufacturing</c:v>
                </c:pt>
                <c:pt idx="33">
                  <c:v>Sewerage and Drainage Services</c:v>
                </c:pt>
                <c:pt idx="34">
                  <c:v>Water Freight Transport</c:v>
                </c:pt>
                <c:pt idx="35">
                  <c:v>Urban Bus Transport (Including Tramway)</c:v>
                </c:pt>
                <c:pt idx="36">
                  <c:v>Water Passenger Transport</c:v>
                </c:pt>
                <c:pt idx="37">
                  <c:v>Iron and Steel Casting</c:v>
                </c:pt>
                <c:pt idx="38">
                  <c:v>Rail Passenger Transport</c:v>
                </c:pt>
                <c:pt idx="39">
                  <c:v>Fossil Fuel Electricity Generation</c:v>
                </c:pt>
                <c:pt idx="40">
                  <c:v>Petroleum Product Wholesaling</c:v>
                </c:pt>
                <c:pt idx="41">
                  <c:v>Human Pharmaceutical and Medicinal Product Manufacturing</c:v>
                </c:pt>
                <c:pt idx="42">
                  <c:v>Accommodation</c:v>
                </c:pt>
                <c:pt idx="43">
                  <c:v>Adhesive Manufacturing</c:v>
                </c:pt>
                <c:pt idx="44">
                  <c:v>Airport Operations and Other Air Transport Support Services</c:v>
                </c:pt>
                <c:pt idx="45">
                  <c:v>Aluminium Rolling, Drawing, Extruding</c:v>
                </c:pt>
                <c:pt idx="46">
                  <c:v>Beef Cattle Farming (Specialised)</c:v>
                </c:pt>
                <c:pt idx="47">
                  <c:v>Beef Cattle Feedlots (Specialised)</c:v>
                </c:pt>
                <c:pt idx="48">
                  <c:v>Beer Manufacturing</c:v>
                </c:pt>
                <c:pt idx="49">
                  <c:v>Biscuit Manufacturing (Factory based)</c:v>
                </c:pt>
                <c:pt idx="50">
                  <c:v>Boatbuilding and Repair Services</c:v>
                </c:pt>
                <c:pt idx="51">
                  <c:v>Boiler, Tank and Other Heavy Gauge Metal Container Manufacturing</c:v>
                </c:pt>
                <c:pt idx="52">
                  <c:v>Bread Manufacturing (Factory based)</c:v>
                </c:pt>
                <c:pt idx="53">
                  <c:v>Cake and Pastry Manufacturing (Factory based)</c:v>
                </c:pt>
                <c:pt idx="54">
                  <c:v>Central Government Administration</c:v>
                </c:pt>
                <c:pt idx="55">
                  <c:v>Cereal, Pasta and Baking Mix Manufacturing</c:v>
                </c:pt>
                <c:pt idx="56">
                  <c:v>Cheese and Other Dairy Product Manufacturing</c:v>
                </c:pt>
                <c:pt idx="57">
                  <c:v>Cigarette and Tobacco Product Manufacturing</c:v>
                </c:pt>
                <c:pt idx="58">
                  <c:v>Clay Brick Manufacturing</c:v>
                </c:pt>
                <c:pt idx="59">
                  <c:v>Cleaning Compound Manufacturing</c:v>
                </c:pt>
                <c:pt idx="60">
                  <c:v>Clothing Manufacturing</c:v>
                </c:pt>
                <c:pt idx="61">
                  <c:v>Concrete Product Manufacturing</c:v>
                </c:pt>
                <c:pt idx="62">
                  <c:v>Concreting Services</c:v>
                </c:pt>
                <c:pt idx="63">
                  <c:v>Confectionery Manufacturing</c:v>
                </c:pt>
                <c:pt idx="64">
                  <c:v>Corrugated Paperboard and Paperboard Container Manufacturing</c:v>
                </c:pt>
                <c:pt idx="65">
                  <c:v>Cosmetic and Toiletry Preparation Manufacturing</c:v>
                </c:pt>
                <c:pt idx="66">
                  <c:v>Cured Meat and Smallgoods Manufacturing</c:v>
                </c:pt>
                <c:pt idx="67">
                  <c:v>Cut and Sewn Textile Product Manufacturing</c:v>
                </c:pt>
                <c:pt idx="68">
                  <c:v>Dairy Cattle Farming</c:v>
                </c:pt>
                <c:pt idx="69">
                  <c:v>Data Processing and Web Hosting Services</c:v>
                </c:pt>
                <c:pt idx="70">
                  <c:v>Defence</c:v>
                </c:pt>
                <c:pt idx="71">
                  <c:v>Electric Cable and Wire Manufacturing</c:v>
                </c:pt>
                <c:pt idx="72">
                  <c:v>Fixed Space Heating, Cooling and Ventilation Equipment Manufacturing</c:v>
                </c:pt>
                <c:pt idx="73">
                  <c:v>Fruit and Vegetable Processing</c:v>
                </c:pt>
                <c:pt idx="74">
                  <c:v>Funeral, Crematorium and Cemetery Services</c:v>
                </c:pt>
                <c:pt idx="75">
                  <c:v>Grain Mill Product Manufacturing</c:v>
                </c:pt>
                <c:pt idx="76">
                  <c:v>Grain Storage Services</c:v>
                </c:pt>
                <c:pt idx="77">
                  <c:v>Gravel and Sand Quarrying</c:v>
                </c:pt>
                <c:pt idx="78">
                  <c:v>Higher Education</c:v>
                </c:pt>
                <c:pt idx="79">
                  <c:v>Hospitals (Except Psychiatric Hospitals)</c:v>
                </c:pt>
                <c:pt idx="80">
                  <c:v>Hydro-Electricity Generation</c:v>
                </c:pt>
                <c:pt idx="81">
                  <c:v>Ice Cream Manufacturing</c:v>
                </c:pt>
                <c:pt idx="82">
                  <c:v>Industrial and Agricultural Chemical Product Wholesaling</c:v>
                </c:pt>
                <c:pt idx="83">
                  <c:v>Industrial Gas Manufacturing</c:v>
                </c:pt>
                <c:pt idx="84">
                  <c:v>Iron and Steel Forging</c:v>
                </c:pt>
                <c:pt idx="85">
                  <c:v>Jewellery and Silverware Manufacturing</c:v>
                </c:pt>
                <c:pt idx="86">
                  <c:v>Laundry and Dry-Cleaning Services</c:v>
                </c:pt>
                <c:pt idx="87">
                  <c:v>Leather Tanning, Fur Dressing and Leather Product Manufacturing</c:v>
                </c:pt>
                <c:pt idx="88">
                  <c:v>Log Sawmilling</c:v>
                </c:pt>
                <c:pt idx="89">
                  <c:v>Machine Tool and Parts Manufacturing</c:v>
                </c:pt>
                <c:pt idx="90">
                  <c:v>Meat Processing</c:v>
                </c:pt>
                <c:pt idx="91">
                  <c:v>Medical and Surgical Equipment Manufacturing</c:v>
                </c:pt>
                <c:pt idx="92">
                  <c:v>Metal Coating and Finishing</c:v>
                </c:pt>
                <c:pt idx="93">
                  <c:v>Milk and Cream Processing</c:v>
                </c:pt>
                <c:pt idx="94">
                  <c:v>Mineral Exploration</c:v>
                </c:pt>
                <c:pt idx="95">
                  <c:v>Mining and Construction Machinery Manufacturing</c:v>
                </c:pt>
                <c:pt idx="96">
                  <c:v>Motor Vehicle Manufacturing</c:v>
                </c:pt>
                <c:pt idx="97">
                  <c:v>Motor Vehicle New Parts Wholesaling</c:v>
                </c:pt>
                <c:pt idx="98">
                  <c:v>Natural Rubber Product Manufacturing</c:v>
                </c:pt>
                <c:pt idx="99">
                  <c:v>Natural Textile Manufacturing</c:v>
                </c:pt>
                <c:pt idx="100">
                  <c:v>Newspaper Publishing</c:v>
                </c:pt>
                <c:pt idx="101">
                  <c:v>Non-Ferrous Metal Casting</c:v>
                </c:pt>
                <c:pt idx="102">
                  <c:v>Nut, Bolt, Screw and Rivet Manufacturing</c:v>
                </c:pt>
                <c:pt idx="103">
                  <c:v>Office Administrative Services</c:v>
                </c:pt>
                <c:pt idx="104">
                  <c:v>Oil and Fat Manufacturing</c:v>
                </c:pt>
                <c:pt idx="105">
                  <c:v>Other Basic Chemical Product Manufacturing n.e.c.</c:v>
                </c:pt>
                <c:pt idx="106">
                  <c:v>Other Basic Non-Ferrous Metal Product Manufacturing</c:v>
                </c:pt>
                <c:pt idx="107">
                  <c:v>Other Basic Polymer Manufacturing</c:v>
                </c:pt>
                <c:pt idx="108">
                  <c:v>Other Ceramic Product Manufacturing</c:v>
                </c:pt>
                <c:pt idx="109">
                  <c:v>Other Construction Material Mining</c:v>
                </c:pt>
                <c:pt idx="110">
                  <c:v>Other Converted Paper Product Manufacturing</c:v>
                </c:pt>
                <c:pt idx="111">
                  <c:v>Other Electrical Equipment Manufacturing</c:v>
                </c:pt>
                <c:pt idx="112">
                  <c:v>Other Electricity Generation</c:v>
                </c:pt>
                <c:pt idx="113">
                  <c:v>Other Fabricated Metal Product Manufacturing n.e.c.</c:v>
                </c:pt>
                <c:pt idx="114">
                  <c:v>Other Manufacturing n.e.c.</c:v>
                </c:pt>
                <c:pt idx="115">
                  <c:v>Other Metal Container Manufacturing</c:v>
                </c:pt>
                <c:pt idx="116">
                  <c:v>Other Mining Support Services</c:v>
                </c:pt>
                <c:pt idx="117">
                  <c:v>Other Motor Vehicle Parts Manufacturing</c:v>
                </c:pt>
                <c:pt idx="118">
                  <c:v>Other Non-Metallic Mineral Mining and Quarrying</c:v>
                </c:pt>
                <c:pt idx="119">
                  <c:v>Other Petroleum and Coal Product Manufacturing</c:v>
                </c:pt>
                <c:pt idx="120">
                  <c:v>Other Polymer Product Manufacturing</c:v>
                </c:pt>
                <c:pt idx="121">
                  <c:v>Other Professional and Scientific Equipment Manufacturing</c:v>
                </c:pt>
                <c:pt idx="122">
                  <c:v>Other Specialised Machinery and Equipment Manufacturing</c:v>
                </c:pt>
                <c:pt idx="123">
                  <c:v>Other Structural Metal Product Manufacturing</c:v>
                </c:pt>
                <c:pt idx="124">
                  <c:v>Other Transport n.e.c.</c:v>
                </c:pt>
                <c:pt idx="125">
                  <c:v>Other Transport Support Services n.e.c.</c:v>
                </c:pt>
                <c:pt idx="126">
                  <c:v>Other Warehousing and Storage Services</c:v>
                </c:pt>
                <c:pt idx="127">
                  <c:v>Other Waste Collection Services</c:v>
                </c:pt>
                <c:pt idx="128">
                  <c:v>Other Wood Product Manufacturing n.e.c.</c:v>
                </c:pt>
                <c:pt idx="129">
                  <c:v>Packaging Services</c:v>
                </c:pt>
                <c:pt idx="130">
                  <c:v>Paint and Coatings Manufacturing</c:v>
                </c:pt>
                <c:pt idx="131">
                  <c:v>Paper Bag Manufacturing</c:v>
                </c:pt>
                <c:pt idx="132">
                  <c:v>Pesticide Manufacturing</c:v>
                </c:pt>
                <c:pt idx="133">
                  <c:v>Petroleum Exploration</c:v>
                </c:pt>
                <c:pt idx="134">
                  <c:v>Photographic, Optical and Ophthalmic Equipment Manufacturing</c:v>
                </c:pt>
                <c:pt idx="135">
                  <c:v>Pig Farming</c:v>
                </c:pt>
                <c:pt idx="136">
                  <c:v>Pipeline Transport</c:v>
                </c:pt>
                <c:pt idx="137">
                  <c:v>Plaster Product Manufacturing</c:v>
                </c:pt>
                <c:pt idx="138">
                  <c:v>Polymer Film and Sheet Packaging Material Manufacturing</c:v>
                </c:pt>
                <c:pt idx="139">
                  <c:v>Polymer Foam Product Manufacturing</c:v>
                </c:pt>
                <c:pt idx="140">
                  <c:v>Potato, Corn and Other Crisp Manufacturing</c:v>
                </c:pt>
                <c:pt idx="141">
                  <c:v>Poultry Farming (Eggs)</c:v>
                </c:pt>
                <c:pt idx="142">
                  <c:v>Poultry Farming (Meat)</c:v>
                </c:pt>
                <c:pt idx="143">
                  <c:v>Poultry Processing</c:v>
                </c:pt>
                <c:pt idx="144">
                  <c:v>Prepared Animal and Bird Feed Manufacturing</c:v>
                </c:pt>
                <c:pt idx="145">
                  <c:v>Printing</c:v>
                </c:pt>
                <c:pt idx="146">
                  <c:v>Printing Support Services</c:v>
                </c:pt>
                <c:pt idx="147">
                  <c:v>Railway Rolling Stock Manufacturing and Repair Services</c:v>
                </c:pt>
                <c:pt idx="148">
                  <c:v>Ready-Mixed Concrete Manufacturing</c:v>
                </c:pt>
                <c:pt idx="149">
                  <c:v>Reconstituted Wood Product Manufacturing</c:v>
                </c:pt>
                <c:pt idx="150">
                  <c:v>Rigid and Semi-Rigid Polymer Product Manufacturing</c:v>
                </c:pt>
                <c:pt idx="151">
                  <c:v>Scientific Research Services</c:v>
                </c:pt>
                <c:pt idx="152">
                  <c:v>Seafood Processing</c:v>
                </c:pt>
                <c:pt idx="153">
                  <c:v>Shipbuilding and Repair Services</c:v>
                </c:pt>
                <c:pt idx="154">
                  <c:v>Soft Drink, Cordial and Syrup Manufacturing</c:v>
                </c:pt>
                <c:pt idx="155">
                  <c:v>Solid Waste Collection Services</c:v>
                </c:pt>
                <c:pt idx="156">
                  <c:v>Spirit Manufacturing</c:v>
                </c:pt>
                <c:pt idx="157">
                  <c:v>Sports and Physical Recreation Venues, Grounds and Facilities Operation</c:v>
                </c:pt>
                <c:pt idx="158">
                  <c:v>Spring and Wire Product Manufacturing</c:v>
                </c:pt>
                <c:pt idx="159">
                  <c:v>Steel Pipe and Tube Manufacturing</c:v>
                </c:pt>
                <c:pt idx="160">
                  <c:v>Stevedoring Services</c:v>
                </c:pt>
                <c:pt idx="161">
                  <c:v>Structural Steel Fabricating</c:v>
                </c:pt>
                <c:pt idx="162">
                  <c:v>Sugar Manufacturing</c:v>
                </c:pt>
                <c:pt idx="163">
                  <c:v>Synthetic Textile Manufacturing</c:v>
                </c:pt>
                <c:pt idx="164">
                  <c:v>Textile Finishing and Other Textile Product Manufacturing</c:v>
                </c:pt>
                <c:pt idx="165">
                  <c:v>Textile Floor Covering Manufacturing</c:v>
                </c:pt>
                <c:pt idx="166">
                  <c:v>Timber Resawing and Dressing</c:v>
                </c:pt>
                <c:pt idx="167">
                  <c:v>Timber Wholesaling</c:v>
                </c:pt>
                <c:pt idx="168">
                  <c:v>Tyre Manufacturing</c:v>
                </c:pt>
                <c:pt idx="169">
                  <c:v>Veneer and Plywood Manufacturing</c:v>
                </c:pt>
                <c:pt idx="170">
                  <c:v>Veterinary Pharmaceutical and Medicinal Product Manufacturing</c:v>
                </c:pt>
                <c:pt idx="171">
                  <c:v>Waste Remediation and Materials Recovery Services</c:v>
                </c:pt>
                <c:pt idx="172">
                  <c:v>Water Supply</c:v>
                </c:pt>
                <c:pt idx="173">
                  <c:v>Whiteware Appliance Manufacturing</c:v>
                </c:pt>
                <c:pt idx="174">
                  <c:v>Wine and Other Alcoholic Beverage Manufacturing</c:v>
                </c:pt>
                <c:pt idx="175">
                  <c:v>Wood Chipping</c:v>
                </c:pt>
                <c:pt idx="176">
                  <c:v>Wooden Furniture and Upholstered Seat Manufacturing</c:v>
                </c:pt>
                <c:pt idx="177">
                  <c:v>Wooden Structural Fitting and Component Manufacturing</c:v>
                </c:pt>
                <c:pt idx="178">
                  <c:v>Wool Scouring</c:v>
                </c:pt>
              </c:strCache>
            </c:strRef>
          </c:cat>
          <c:val>
            <c:numRef>
              <c:f>'Figure 4 Baselines by activity'!$F$3:$F$181</c:f>
              <c:numCache>
                <c:formatCode>#,##0</c:formatCode>
                <c:ptCount val="179"/>
                <c:pt idx="0">
                  <c:v>51347750</c:v>
                </c:pt>
                <c:pt idx="1">
                  <c:v>52150723</c:v>
                </c:pt>
                <c:pt idx="2">
                  <c:v>14367023</c:v>
                </c:pt>
                <c:pt idx="3">
                  <c:v>15723014</c:v>
                </c:pt>
                <c:pt idx="4">
                  <c:v>7524924</c:v>
                </c:pt>
                <c:pt idx="5">
                  <c:v>6381882</c:v>
                </c:pt>
                <c:pt idx="6">
                  <c:v>4693619</c:v>
                </c:pt>
                <c:pt idx="7">
                  <c:v>3826394</c:v>
                </c:pt>
                <c:pt idx="8">
                  <c:v>3514431</c:v>
                </c:pt>
                <c:pt idx="9">
                  <c:v>3547541</c:v>
                </c:pt>
                <c:pt idx="10">
                  <c:v>3225194</c:v>
                </c:pt>
                <c:pt idx="11">
                  <c:v>2597885</c:v>
                </c:pt>
                <c:pt idx="12">
                  <c:v>2785366</c:v>
                </c:pt>
                <c:pt idx="13">
                  <c:v>2554993</c:v>
                </c:pt>
                <c:pt idx="14">
                  <c:v>3215173</c:v>
                </c:pt>
                <c:pt idx="15">
                  <c:v>1915538</c:v>
                </c:pt>
                <c:pt idx="16">
                  <c:v>1824783</c:v>
                </c:pt>
                <c:pt idx="17">
                  <c:v>901148</c:v>
                </c:pt>
                <c:pt idx="18">
                  <c:v>1749184</c:v>
                </c:pt>
                <c:pt idx="19">
                  <c:v>1766661</c:v>
                </c:pt>
                <c:pt idx="20">
                  <c:v>1093543</c:v>
                </c:pt>
                <c:pt idx="21">
                  <c:v>815086</c:v>
                </c:pt>
                <c:pt idx="22">
                  <c:v>798483</c:v>
                </c:pt>
                <c:pt idx="23">
                  <c:v>708099</c:v>
                </c:pt>
                <c:pt idx="24">
                  <c:v>573297</c:v>
                </c:pt>
                <c:pt idx="25">
                  <c:v>569120</c:v>
                </c:pt>
                <c:pt idx="26">
                  <c:v>551253</c:v>
                </c:pt>
                <c:pt idx="27">
                  <c:v>503891</c:v>
                </c:pt>
                <c:pt idx="28">
                  <c:v>477214</c:v>
                </c:pt>
                <c:pt idx="29">
                  <c:v>394357</c:v>
                </c:pt>
                <c:pt idx="30">
                  <c:v>353998</c:v>
                </c:pt>
                <c:pt idx="31">
                  <c:v>403705</c:v>
                </c:pt>
                <c:pt idx="32">
                  <c:v>357739</c:v>
                </c:pt>
                <c:pt idx="33">
                  <c:v>277571</c:v>
                </c:pt>
                <c:pt idx="34">
                  <c:v>144297</c:v>
                </c:pt>
                <c:pt idx="35">
                  <c:v>159748</c:v>
                </c:pt>
                <c:pt idx="36">
                  <c:v>161416</c:v>
                </c:pt>
                <c:pt idx="37">
                  <c:v>252862</c:v>
                </c:pt>
                <c:pt idx="38">
                  <c:v>140686</c:v>
                </c:pt>
                <c:pt idx="39">
                  <c:v>106831</c:v>
                </c:pt>
                <c:pt idx="40">
                  <c:v>100000</c:v>
                </c:pt>
                <c:pt idx="41">
                  <c:v>100000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4-768A-4004-B3B3-90B0C08335C3}"/>
            </c:ext>
          </c:extLst>
        </c:ser>
        <c:dLbls>
          <c:showLegendKey val="0"/>
          <c:showVal val="0"/>
          <c:showCatName val="0"/>
          <c:showSerName val="0"/>
          <c:showPercent val="0"/>
          <c:showBubbleSize val="0"/>
        </c:dLbls>
        <c:gapWidth val="150"/>
        <c:overlap val="100"/>
        <c:axId val="1723446367"/>
        <c:axId val="510556953"/>
      </c:barChart>
      <c:catAx>
        <c:axId val="1723446367"/>
        <c:scaling>
          <c:orientation val="maxMin"/>
        </c:scaling>
        <c:delete val="0"/>
        <c:axPos val="l"/>
        <c:title>
          <c:tx>
            <c:rich>
              <a:bodyPr/>
              <a:lstStyle/>
              <a:p>
                <a:pPr lvl="0">
                  <a:defRPr b="0">
                    <a:solidFill>
                      <a:srgbClr val="000000"/>
                    </a:solidFill>
                    <a:latin typeface="+mn-lt"/>
                  </a:defRPr>
                </a:pPr>
                <a:r>
                  <a:rPr lang="en-AU" b="0">
                    <a:solidFill>
                      <a:srgbClr val="000000"/>
                    </a:solidFill>
                    <a:latin typeface="+mn-lt"/>
                  </a:rPr>
                  <a:t>Activity</a:t>
                </a:r>
              </a:p>
            </c:rich>
          </c:tx>
          <c:overlay val="0"/>
        </c:title>
        <c:numFmt formatCode="General" sourceLinked="1"/>
        <c:majorTickMark val="none"/>
        <c:minorTickMark val="none"/>
        <c:tickLblPos val="nextTo"/>
        <c:txPr>
          <a:bodyPr/>
          <a:lstStyle/>
          <a:p>
            <a:pPr lvl="0">
              <a:defRPr b="0">
                <a:solidFill>
                  <a:srgbClr val="000000"/>
                </a:solidFill>
                <a:latin typeface="+mn-lt"/>
              </a:defRPr>
            </a:pPr>
            <a:endParaRPr lang="en-US"/>
          </a:p>
        </c:txPr>
        <c:crossAx val="510556953"/>
        <c:crosses val="autoZero"/>
        <c:auto val="1"/>
        <c:lblAlgn val="ctr"/>
        <c:lblOffset val="100"/>
        <c:noMultiLvlLbl val="1"/>
      </c:catAx>
      <c:valAx>
        <c:axId val="510556953"/>
        <c:scaling>
          <c:orientation val="minMax"/>
        </c:scaling>
        <c:delete val="0"/>
        <c:axPos val="b"/>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lang="en-AU" b="0">
                    <a:solidFill>
                      <a:srgbClr val="000000"/>
                    </a:solidFill>
                    <a:latin typeface="+mn-lt"/>
                  </a:rPr>
                  <a:t>Emissions (tCO2e) 2016-17 to 2020-21</a:t>
                </a:r>
              </a:p>
            </c:rich>
          </c:tx>
          <c:overlay val="0"/>
        </c:title>
        <c:numFmt formatCode="#,##0" sourceLinked="1"/>
        <c:majorTickMark val="none"/>
        <c:minorTickMark val="none"/>
        <c:tickLblPos val="nextTo"/>
        <c:spPr>
          <a:ln/>
        </c:spPr>
        <c:txPr>
          <a:bodyPr/>
          <a:lstStyle/>
          <a:p>
            <a:pPr lvl="0">
              <a:defRPr b="0">
                <a:solidFill>
                  <a:srgbClr val="000000"/>
                </a:solidFill>
                <a:latin typeface="+mn-lt"/>
              </a:defRPr>
            </a:pPr>
            <a:endParaRPr lang="en-US"/>
          </a:p>
        </c:txPr>
        <c:crossAx val="1723446367"/>
        <c:crosses val="max"/>
        <c:crossBetween val="between"/>
      </c:valAx>
    </c:plotArea>
    <c:legend>
      <c:legendPos val="r"/>
      <c:overlay val="0"/>
      <c:txPr>
        <a:bodyPr/>
        <a:lstStyle/>
        <a:p>
          <a:pPr lvl="0">
            <a:defRPr b="0">
              <a:solidFill>
                <a:srgbClr val="1A1A1A"/>
              </a:solidFill>
              <a:latin typeface="+mn-lt"/>
            </a:defRPr>
          </a:pPr>
          <a:endParaRPr lang="en-US"/>
        </a:p>
      </c:txPr>
    </c:legend>
    <c:plotVisOnly val="1"/>
    <c:dispBlanksAs val="zero"/>
    <c:showDLblsOverMax val="1"/>
  </c:chart>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lvl="0">
              <a:defRPr b="0">
                <a:solidFill>
                  <a:srgbClr val="757575"/>
                </a:solidFill>
                <a:latin typeface="+mn-lt"/>
              </a:defRPr>
            </a:pPr>
            <a:r>
              <a:rPr lang="en-AU" b="0">
                <a:solidFill>
                  <a:srgbClr val="757575"/>
                </a:solidFill>
                <a:latin typeface="+mn-lt"/>
              </a:rPr>
              <a:t>Safeguard baseline headroom by facility</a:t>
            </a:r>
          </a:p>
        </c:rich>
      </c:tx>
      <c:overlay val="0"/>
    </c:title>
    <c:autoTitleDeleted val="0"/>
    <c:plotArea>
      <c:layout/>
      <c:barChart>
        <c:barDir val="bar"/>
        <c:grouping val="stacked"/>
        <c:varyColors val="1"/>
        <c:ser>
          <c:idx val="0"/>
          <c:order val="0"/>
          <c:tx>
            <c:v>2016-17</c:v>
          </c:tx>
          <c:spPr>
            <a:solidFill>
              <a:srgbClr val="C6E097"/>
            </a:solidFill>
            <a:ln cmpd="sng">
              <a:solidFill>
                <a:srgbClr val="000000"/>
              </a:solidFill>
            </a:ln>
          </c:spPr>
          <c:invertIfNegative val="1"/>
          <c:cat>
            <c:strRef>
              <c:f>'Figure 6 Headroom by facility'!$A$3:$A$311</c:f>
              <c:strCache>
                <c:ptCount val="309"/>
                <c:pt idx="0">
                  <c:v>1. Solid Waste Services - MRL</c:v>
                </c:pt>
                <c:pt idx="1">
                  <c:v>Abel Underground Coal Mine</c:v>
                </c:pt>
                <c:pt idx="2">
                  <c:v>AER Rail Freight QLD</c:v>
                </c:pt>
                <c:pt idx="3">
                  <c:v>Angaston Operations</c:v>
                </c:pt>
                <c:pt idx="4">
                  <c:v>APLNG Facility</c:v>
                </c:pt>
                <c:pt idx="5">
                  <c:v>APN01 Appin Colliery - ICH Facility</c:v>
                </c:pt>
                <c:pt idx="6">
                  <c:v>APU01 Pyrenees - AOA Facility</c:v>
                </c:pt>
                <c:pt idx="7">
                  <c:v>ARC01 Mining Area C - MNG Facility</c:v>
                </c:pt>
                <c:pt idx="8">
                  <c:v>Arcadia</c:v>
                </c:pt>
                <c:pt idx="9">
                  <c:v>Ashton Coal Mine (Underground)</c:v>
                </c:pt>
                <c:pt idx="10">
                  <c:v>ATCO Gas Australia Pty Ltd</c:v>
                </c:pt>
                <c:pt idx="11">
                  <c:v>Aurizon Rail Freight NSW</c:v>
                </c:pt>
                <c:pt idx="12">
                  <c:v>Aurizon Rail Freight QLD</c:v>
                </c:pt>
                <c:pt idx="13">
                  <c:v>Aurizon Rail Freight WA</c:v>
                </c:pt>
                <c:pt idx="14">
                  <c:v>AusNet Gas Services Pty Ltd</c:v>
                </c:pt>
                <c:pt idx="15">
                  <c:v>Austar Coal Mine (Underground)</c:v>
                </c:pt>
                <c:pt idx="16">
                  <c:v>Australian Gas Networks (SA) Ltd</c:v>
                </c:pt>
                <c:pt idx="17">
                  <c:v>Australian Gas Networks (Vic) Pty Ltd</c:v>
                </c:pt>
                <c:pt idx="18">
                  <c:v>AWR Rail Freight WA</c:v>
                </c:pt>
                <c:pt idx="19">
                  <c:v>Ballera</c:v>
                </c:pt>
                <c:pt idx="20">
                  <c:v>Baralaba Coal Mine</c:v>
                </c:pt>
                <c:pt idx="21">
                  <c:v>Basker Manta Gummy</c:v>
                </c:pt>
                <c:pt idx="22">
                  <c:v>Batchfire Resources No.1</c:v>
                </c:pt>
                <c:pt idx="23">
                  <c:v>Bell Bay Smelter</c:v>
                </c:pt>
                <c:pt idx="24">
                  <c:v>Beltana / Blakefield South</c:v>
                </c:pt>
                <c:pt idx="25">
                  <c:v>Bengalla Operations</c:v>
                </c:pt>
                <c:pt idx="26">
                  <c:v>Big Lake Gas</c:v>
                </c:pt>
                <c:pt idx="27">
                  <c:v>Birkenhead Operations</c:v>
                </c:pt>
                <c:pt idx="28">
                  <c:v>Blackwater Mine</c:v>
                </c:pt>
                <c:pt idx="29">
                  <c:v>Blair Athol Mine</c:v>
                </c:pt>
                <c:pt idx="30">
                  <c:v>Boggabri Coal Minesite</c:v>
                </c:pt>
                <c:pt idx="31">
                  <c:v>Boyne Smelters Limited</c:v>
                </c:pt>
                <c:pt idx="32">
                  <c:v>Brockman 2 / Nammuldi Mines</c:v>
                </c:pt>
                <c:pt idx="33">
                  <c:v>Brockman 4 Mine</c:v>
                </c:pt>
                <c:pt idx="34">
                  <c:v>Bulga Coal Complex</c:v>
                </c:pt>
                <c:pt idx="35">
                  <c:v>Bulga Opencut</c:v>
                </c:pt>
                <c:pt idx="36">
                  <c:v>Burton Mine</c:v>
                </c:pt>
                <c:pt idx="37">
                  <c:v>Byerwen Mine</c:v>
                </c:pt>
                <c:pt idx="38">
                  <c:v>Cadia Valley Operations</c:v>
                </c:pt>
                <c:pt idx="39">
                  <c:v>CAN01</c:v>
                </c:pt>
                <c:pt idx="40">
                  <c:v>Capcoal Mine</c:v>
                </c:pt>
                <c:pt idx="41">
                  <c:v>Cape Lambert Port Operations</c:v>
                </c:pt>
                <c:pt idx="42">
                  <c:v>Carborough Downs coal mine</c:v>
                </c:pt>
                <c:pt idx="43">
                  <c:v>Carmichael Coal Mine</c:v>
                </c:pt>
                <c:pt idx="44">
                  <c:v>Carosue Dam</c:v>
                </c:pt>
                <c:pt idx="45">
                  <c:v>Caval Ridge Mine</c:v>
                </c:pt>
                <c:pt idx="46">
                  <c:v>CEM NSW Berrima</c:v>
                </c:pt>
                <c:pt idx="47">
                  <c:v>CEM NSW Maldon</c:v>
                </c:pt>
                <c:pt idx="48">
                  <c:v>CEM NSW Marulan</c:v>
                </c:pt>
                <c:pt idx="49">
                  <c:v>CEM VIC Waurn Ponds</c:v>
                </c:pt>
                <c:pt idx="50">
                  <c:v>Central Mine</c:v>
                </c:pt>
                <c:pt idx="51">
                  <c:v>Chain Valley Colliery</c:v>
                </c:pt>
                <c:pt idx="52">
                  <c:v>Chandala Processing Plant</c:v>
                </c:pt>
                <c:pt idx="53">
                  <c:v>Charbon Lime Manufacturing Plant</c:v>
                </c:pt>
                <c:pt idx="54">
                  <c:v>Christmas Creek Mine</c:v>
                </c:pt>
                <c:pt idx="55">
                  <c:v>Clermont Coal Operations</c:v>
                </c:pt>
                <c:pt idx="56">
                  <c:v>Cloudbreak Mine</c:v>
                </c:pt>
                <c:pt idx="57">
                  <c:v>Clyde Terminal</c:v>
                </c:pt>
                <c:pt idx="58">
                  <c:v>Cockburn Operations</c:v>
                </c:pt>
                <c:pt idx="59">
                  <c:v>Collinsville Mine</c:v>
                </c:pt>
                <c:pt idx="60">
                  <c:v>Condabri</c:v>
                </c:pt>
                <c:pt idx="61">
                  <c:v>Cook Colliery</c:v>
                </c:pt>
                <c:pt idx="62">
                  <c:v>Coppabella Coal Mine</c:v>
                </c:pt>
                <c:pt idx="63">
                  <c:v>CSBP Kwinana Facility</c:v>
                </c:pt>
                <c:pt idx="64">
                  <c:v>Curragh Mine</c:v>
                </c:pt>
                <c:pt idx="65">
                  <c:v>Curtis Island GLNG Plant</c:v>
                </c:pt>
                <c:pt idx="66">
                  <c:v>Daandine Operations</c:v>
                </c:pt>
                <c:pt idx="67">
                  <c:v>Dandenong</c:v>
                </c:pt>
                <c:pt idx="68">
                  <c:v>Dartbrook Coal Mine</c:v>
                </c:pt>
                <c:pt idx="69">
                  <c:v>Darwin LNG Plant</c:v>
                </c:pt>
                <c:pt idx="70">
                  <c:v>Daunia Mine</c:v>
                </c:pt>
                <c:pt idx="71">
                  <c:v>Dawson Mine</c:v>
                </c:pt>
                <c:pt idx="72">
                  <c:v>DBNGP</c:v>
                </c:pt>
                <c:pt idx="73">
                  <c:v>DEN01</c:v>
                </c:pt>
                <c:pt idx="74">
                  <c:v>Dongara Operations</c:v>
                </c:pt>
                <c:pt idx="75">
                  <c:v>Drake Mine</c:v>
                </c:pt>
                <c:pt idx="76">
                  <c:v>Drayton Mine</c:v>
                </c:pt>
                <c:pt idx="77">
                  <c:v>Duketon South Operations</c:v>
                </c:pt>
                <c:pt idx="78">
                  <c:v>Duralie Open Cut Mine</c:v>
                </c:pt>
                <c:pt idx="79">
                  <c:v>Eastern Creek Landfill (combined)</c:v>
                </c:pt>
                <c:pt idx="80">
                  <c:v>Eastern Gas Pipeline</c:v>
                </c:pt>
                <c:pt idx="81">
                  <c:v>Eastern Ridge Mine</c:v>
                </c:pt>
                <c:pt idx="82">
                  <c:v>Eliwana Mine</c:v>
                </c:pt>
                <c:pt idx="83">
                  <c:v>Elizabeth Drive Landfill</c:v>
                </c:pt>
                <c:pt idx="84">
                  <c:v>Enfield Project Venture</c:v>
                </c:pt>
                <c:pt idx="85">
                  <c:v>Ensham Resources Minesite</c:v>
                </c:pt>
                <c:pt idx="86">
                  <c:v>Ergon Energy Network Facility</c:v>
                </c:pt>
                <c:pt idx="87">
                  <c:v>Ernest Henry Mining Operations</c:v>
                </c:pt>
                <c:pt idx="88">
                  <c:v>Erskine Park Landfill</c:v>
                </c:pt>
                <c:pt idx="89">
                  <c:v>Facility WA CTC</c:v>
                </c:pt>
                <c:pt idx="90">
                  <c:v>Fairview</c:v>
                </c:pt>
                <c:pt idx="91">
                  <c:v>Farstad Shipping Offshore Operations Western Australia</c:v>
                </c:pt>
                <c:pt idx="92">
                  <c:v>Fimiston</c:v>
                </c:pt>
                <c:pt idx="93">
                  <c:v>Fisherman's Landing</c:v>
                </c:pt>
                <c:pt idx="94">
                  <c:v>FLNG</c:v>
                </c:pt>
                <c:pt idx="95">
                  <c:v>Fortescue Rail</c:v>
                </c:pt>
                <c:pt idx="96">
                  <c:v>Foxleigh Mine</c:v>
                </c:pt>
                <c:pt idx="97">
                  <c:v>Geelong Refinery</c:v>
                </c:pt>
                <c:pt idx="98">
                  <c:v>GEM01</c:v>
                </c:pt>
                <c:pt idx="99">
                  <c:v>Gibson Island</c:v>
                </c:pt>
                <c:pt idx="100">
                  <c:v>Gidgealpa Gas</c:v>
                </c:pt>
                <c:pt idx="101">
                  <c:v>Gippsland Basin facility</c:v>
                </c:pt>
                <c:pt idx="102">
                  <c:v>Glendell Mine</c:v>
                </c:pt>
                <c:pt idx="103">
                  <c:v>Goldfields Gas Transmission Pipeline</c:v>
                </c:pt>
                <c:pt idx="104">
                  <c:v>Goonyella Broadmeadow Mine</c:v>
                </c:pt>
                <c:pt idx="105">
                  <c:v>Gorgon Downstream</c:v>
                </c:pt>
                <c:pt idx="106">
                  <c:v>Gorgon Operations</c:v>
                </c:pt>
                <c:pt idx="107">
                  <c:v>Gorgon Upstream</c:v>
                </c:pt>
                <c:pt idx="108">
                  <c:v>Gove Operations</c:v>
                </c:pt>
                <c:pt idx="109">
                  <c:v>Granny Smith Mine Site</c:v>
                </c:pt>
                <c:pt idx="110">
                  <c:v>Griffin Coal Mine</c:v>
                </c:pt>
                <c:pt idx="111">
                  <c:v>Grosvenor Mine</c:v>
                </c:pt>
                <c:pt idx="112">
                  <c:v>Gruyere Mine Site</c:v>
                </c:pt>
                <c:pt idx="113">
                  <c:v>Hail Creek Mine</c:v>
                </c:pt>
                <c:pt idx="114">
                  <c:v>Hallam Road Landfill</c:v>
                </c:pt>
                <c:pt idx="115">
                  <c:v>Hope Downs 1 Mine</c:v>
                </c:pt>
                <c:pt idx="116">
                  <c:v>Hope Downs 4 Mine</c:v>
                </c:pt>
                <c:pt idx="117">
                  <c:v>Hunter Valley Operations mine</c:v>
                </c:pt>
                <c:pt idx="118">
                  <c:v>Huntly Mine</c:v>
                </c:pt>
                <c:pt idx="119">
                  <c:v>HVY01 Hunter Valley Energy Coal - CCL Facility</c:v>
                </c:pt>
                <c:pt idx="120">
                  <c:v>Integra Underground Mine</c:v>
                </c:pt>
                <c:pt idx="121">
                  <c:v>Isaac Plains Coal Mine</c:v>
                </c:pt>
                <c:pt idx="122">
                  <c:v>Jellinbah Mine</c:v>
                </c:pt>
                <c:pt idx="123">
                  <c:v>JGN</c:v>
                </c:pt>
                <c:pt idx="124">
                  <c:v>Jimblebar Mine</c:v>
                </c:pt>
                <c:pt idx="125">
                  <c:v>Jundee Gold Mine</c:v>
                </c:pt>
                <c:pt idx="126">
                  <c:v>Kemerton Silicon Smelter</c:v>
                </c:pt>
                <c:pt idx="127">
                  <c:v>Kestrel Mine</c:v>
                </c:pt>
                <c:pt idx="128">
                  <c:v>Koolyanobbing/Windarling Operations</c:v>
                </c:pt>
                <c:pt idx="129">
                  <c:v>Kooragang Island</c:v>
                </c:pt>
                <c:pt idx="130">
                  <c:v>Kwinana Alumina Refinery</c:v>
                </c:pt>
                <c:pt idx="131">
                  <c:v>Kwinana Pigment Plant</c:v>
                </c:pt>
                <c:pt idx="132">
                  <c:v>Kwinana Refinery</c:v>
                </c:pt>
                <c:pt idx="133">
                  <c:v>Lake Vermont Mine</c:v>
                </c:pt>
                <c:pt idx="134">
                  <c:v>Lang Lang</c:v>
                </c:pt>
                <c:pt idx="135">
                  <c:v>Lawn Hill Mine</c:v>
                </c:pt>
                <c:pt idx="136">
                  <c:v>Leonora Operations</c:v>
                </c:pt>
                <c:pt idx="137">
                  <c:v>Liberty OneSteel Laverton Steel Mill</c:v>
                </c:pt>
                <c:pt idx="138">
                  <c:v>Liberty Primary Steel Whyalla Steelworks</c:v>
                </c:pt>
                <c:pt idx="139">
                  <c:v>Liberty Steel Laverton Steel Mill</c:v>
                </c:pt>
                <c:pt idx="140">
                  <c:v>Liddell Coal Mine</c:v>
                </c:pt>
                <c:pt idx="141">
                  <c:v>LNG Pipeline</c:v>
                </c:pt>
                <c:pt idx="142">
                  <c:v>Mandalong Mine</c:v>
                </c:pt>
                <c:pt idx="143">
                  <c:v>Mangoola</c:v>
                </c:pt>
                <c:pt idx="144">
                  <c:v>Mannering Colliery</c:v>
                </c:pt>
                <c:pt idx="145">
                  <c:v>Marandoo Mine</c:v>
                </c:pt>
                <c:pt idx="146">
                  <c:v>Maules Creek Open Cut Mine</c:v>
                </c:pt>
                <c:pt idx="147">
                  <c:v>McArthur River Mining Operations</c:v>
                </c:pt>
                <c:pt idx="148">
                  <c:v>Meandu Coal Mine</c:v>
                </c:pt>
                <c:pt idx="149">
                  <c:v>Mesa A Mine</c:v>
                </c:pt>
                <c:pt idx="150">
                  <c:v>Metropolitan Colliery</c:v>
                </c:pt>
                <c:pt idx="151">
                  <c:v>Middlemount Coal Mine</c:v>
                </c:pt>
                <c:pt idx="152">
                  <c:v>Millennium Coal Mine</c:v>
                </c:pt>
                <c:pt idx="153">
                  <c:v>Millicent Mill</c:v>
                </c:pt>
                <c:pt idx="154">
                  <c:v>Mobil Altona Refinery</c:v>
                </c:pt>
                <c:pt idx="155">
                  <c:v>Montara Operations</c:v>
                </c:pt>
                <c:pt idx="156">
                  <c:v>Moolarben Coal Mine (Open Cut &amp; Underground)</c:v>
                </c:pt>
                <c:pt idx="157">
                  <c:v>Moomba Plant</c:v>
                </c:pt>
                <c:pt idx="158">
                  <c:v>Moomba South Central Gas</c:v>
                </c:pt>
                <c:pt idx="159">
                  <c:v>Moorvale Coal Mine</c:v>
                </c:pt>
                <c:pt idx="160">
                  <c:v>Moranbah</c:v>
                </c:pt>
                <c:pt idx="161">
                  <c:v>Moranbah North Mine</c:v>
                </c:pt>
                <c:pt idx="162">
                  <c:v>Mount Isa Mines Copper and Zinc Operations</c:v>
                </c:pt>
                <c:pt idx="163">
                  <c:v>Mount Pleasant Operations</c:v>
                </c:pt>
                <c:pt idx="164">
                  <c:v>Mount Thorley Operations</c:v>
                </c:pt>
                <c:pt idx="165">
                  <c:v>Mt Owen Coal Mine</c:v>
                </c:pt>
                <c:pt idx="166">
                  <c:v>Mt Owen Glendell Complex</c:v>
                </c:pt>
                <c:pt idx="167">
                  <c:v>Multinet Principal Distribution Network and South Gippsland Pipeline</c:v>
                </c:pt>
                <c:pt idx="168">
                  <c:v>Murrin Murrin Operations</c:v>
                </c:pt>
                <c:pt idx="169">
                  <c:v>Myuna Colliery</c:v>
                </c:pt>
                <c:pt idx="170">
                  <c:v>Narngulu Synthetic Rutile Processing Operations</c:v>
                </c:pt>
                <c:pt idx="171">
                  <c:v>Narrabri Underground Mine</c:v>
                </c:pt>
                <c:pt idx="172">
                  <c:v>New Acland Mine</c:v>
                </c:pt>
                <c:pt idx="173">
                  <c:v>New Chum Landfill</c:v>
                </c:pt>
                <c:pt idx="174">
                  <c:v>New Illawarra Road Landfill</c:v>
                </c:pt>
                <c:pt idx="175">
                  <c:v>Newlands Coal Complex including Newlands Northern UG</c:v>
                </c:pt>
                <c:pt idx="176">
                  <c:v>Newman Operations</c:v>
                </c:pt>
                <c:pt idx="177">
                  <c:v>Newmont Boddington Gold Operation</c:v>
                </c:pt>
                <c:pt idx="178">
                  <c:v>Newmont Tanami Operation</c:v>
                </c:pt>
                <c:pt idx="179">
                  <c:v>Newstan Colliery</c:v>
                </c:pt>
                <c:pt idx="180">
                  <c:v>NGP</c:v>
                </c:pt>
                <c:pt idx="181">
                  <c:v>Ningaloo Vision FPSO</c:v>
                </c:pt>
                <c:pt idx="182">
                  <c:v>NKS01 Nickel West Kalgoorlie Facility</c:v>
                </c:pt>
                <c:pt idx="183">
                  <c:v>NKW01 Nickel West Kwinana Facility</c:v>
                </c:pt>
                <c:pt idx="184">
                  <c:v>NMK01 Nickel West Mt Keith Facility</c:v>
                </c:pt>
                <c:pt idx="185">
                  <c:v>Norske Skog Boyer Mill</c:v>
                </c:pt>
                <c:pt idx="186">
                  <c:v>North Goonyella Coal Mine</c:v>
                </c:pt>
                <c:pt idx="187">
                  <c:v>North West Shelf Project</c:v>
                </c:pt>
                <c:pt idx="188">
                  <c:v>Northern Endeavour FPSO</c:v>
                </c:pt>
                <c:pt idx="189">
                  <c:v>Norwich Park Mine</c:v>
                </c:pt>
                <c:pt idx="190">
                  <c:v>Nowra Plant</c:v>
                </c:pt>
                <c:pt idx="191">
                  <c:v>Nyrstar Port Pirie Facility</c:v>
                </c:pt>
                <c:pt idx="192">
                  <c:v>Nyrstar Port Pirie Smelter</c:v>
                </c:pt>
                <c:pt idx="193">
                  <c:v>O-I Melbourne Plant</c:v>
                </c:pt>
                <c:pt idx="194">
                  <c:v>Oaky Creek Coal Complex</c:v>
                </c:pt>
                <c:pt idx="195">
                  <c:v>ODS01 Olympic Dam - UOD Facility</c:v>
                </c:pt>
                <c:pt idx="196">
                  <c:v>OI Adelaide Plant</c:v>
                </c:pt>
                <c:pt idx="197">
                  <c:v>OI Sydney Plant</c:v>
                </c:pt>
                <c:pt idx="198">
                  <c:v>Opal Australian Paper Maryvale Mill</c:v>
                </c:pt>
                <c:pt idx="199">
                  <c:v>Orora Glass Plant Gawler</c:v>
                </c:pt>
                <c:pt idx="200">
                  <c:v>Otway</c:v>
                </c:pt>
                <c:pt idx="201">
                  <c:v>Palmer Nickel and Cobalt Refinery</c:v>
                </c:pt>
                <c:pt idx="202">
                  <c:v>Paraburdoo Mine</c:v>
                </c:pt>
                <c:pt idx="203">
                  <c:v>Parkhurst Magnesia Manufacturing Plant</c:v>
                </c:pt>
                <c:pt idx="204">
                  <c:v>Peak Downs Mine</c:v>
                </c:pt>
                <c:pt idx="205">
                  <c:v>Peat</c:v>
                </c:pt>
                <c:pt idx="206">
                  <c:v>Phosphate Hill</c:v>
                </c:pt>
                <c:pt idx="207">
                  <c:v>Pilbara Rail Operations</c:v>
                </c:pt>
                <c:pt idx="208">
                  <c:v>Pinjarra Alumina Refinery</c:v>
                </c:pt>
                <c:pt idx="209">
                  <c:v>Pluto LNG</c:v>
                </c:pt>
                <c:pt idx="210">
                  <c:v>Point Henry Aluminium Smelter</c:v>
                </c:pt>
                <c:pt idx="211">
                  <c:v>Poitrel Mine</c:v>
                </c:pt>
                <c:pt idx="212">
                  <c:v>Port Bonython Plant</c:v>
                </c:pt>
                <c:pt idx="213">
                  <c:v>Port Kembla Steelworks</c:v>
                </c:pt>
                <c:pt idx="214">
                  <c:v>Port Latta Pelletising Plant</c:v>
                </c:pt>
                <c:pt idx="215">
                  <c:v>Portland Aluminium Smelter</c:v>
                </c:pt>
                <c:pt idx="216">
                  <c:v>Premier Coal Mine</c:v>
                </c:pt>
                <c:pt idx="217">
                  <c:v>PRL03 Rail - IOR Facility</c:v>
                </c:pt>
                <c:pt idx="218">
                  <c:v>Prominent Hill Mine</c:v>
                </c:pt>
                <c:pt idx="219">
                  <c:v>Qantas Airways Limited National Transport Facility</c:v>
                </c:pt>
                <c:pt idx="220">
                  <c:v>Qenos Altona Manufacturing</c:v>
                </c:pt>
                <c:pt idx="221">
                  <c:v>Qenos Botany Manufacturing</c:v>
                </c:pt>
                <c:pt idx="222">
                  <c:v>QGC Upstream</c:v>
                </c:pt>
                <c:pt idx="223">
                  <c:v>QGC Upstream</c:v>
                </c:pt>
                <c:pt idx="224">
                  <c:v>QLD - Ti Tree Bioreactor</c:v>
                </c:pt>
                <c:pt idx="225">
                  <c:v>QLD - Wattle Glen Landfill</c:v>
                </c:pt>
                <c:pt idx="226">
                  <c:v>Queensland</c:v>
                </c:pt>
                <c:pt idx="227">
                  <c:v>Queensland Alumina Limited Refinery</c:v>
                </c:pt>
                <c:pt idx="228">
                  <c:v>Queensland Curtis LNG Plant</c:v>
                </c:pt>
                <c:pt idx="229">
                  <c:v>Queensland Nitrates Ammonium Nitrate Plant</c:v>
                </c:pt>
                <c:pt idx="230">
                  <c:v>Railton</c:v>
                </c:pt>
                <c:pt idx="231">
                  <c:v>Ranger Mine</c:v>
                </c:pt>
                <c:pt idx="232">
                  <c:v>Ravensthorpe Nickel Operation</c:v>
                </c:pt>
                <c:pt idx="233">
                  <c:v>Ravensworth Operations</c:v>
                </c:pt>
                <c:pt idx="234">
                  <c:v>Ravensworth Underground Coal Mine</c:v>
                </c:pt>
                <c:pt idx="235">
                  <c:v>Red Hill Waste Management Facility</c:v>
                </c:pt>
                <c:pt idx="236">
                  <c:v>Reedy Creek &amp; Combabula</c:v>
                </c:pt>
                <c:pt idx="237">
                  <c:v>Refinery Qld Lytton</c:v>
                </c:pt>
                <c:pt idx="238">
                  <c:v>Rio Tinto Marine - Qld</c:v>
                </c:pt>
                <c:pt idx="239">
                  <c:v>Rio Tinto Weipa</c:v>
                </c:pt>
                <c:pt idx="240">
                  <c:v>Rio Tinto Yarwun</c:v>
                </c:pt>
                <c:pt idx="241">
                  <c:v>Rix's Creek Pty Limited</c:v>
                </c:pt>
                <c:pt idx="242">
                  <c:v>Rochedale landfill facility</c:v>
                </c:pt>
                <c:pt idx="243">
                  <c:v>Rolleston Coal Mine</c:v>
                </c:pt>
                <c:pt idx="244">
                  <c:v>Roma Hub</c:v>
                </c:pt>
                <c:pt idx="245">
                  <c:v>Roy Hill Mine</c:v>
                </c:pt>
                <c:pt idx="246">
                  <c:v>Russell Vale Colliery</c:v>
                </c:pt>
                <c:pt idx="247">
                  <c:v>SA - IWS Landfill</c:v>
                </c:pt>
                <c:pt idx="248">
                  <c:v>Saraji Mine</c:v>
                </c:pt>
                <c:pt idx="249">
                  <c:v>Savage River Mine</c:v>
                </c:pt>
                <c:pt idx="250">
                  <c:v>Sewerage East</c:v>
                </c:pt>
                <c:pt idx="251">
                  <c:v>Sewerage West</c:v>
                </c:pt>
                <c:pt idx="252">
                  <c:v>SIMEC Mining - Middleback Range Iron Ore Mine (Whyalla)</c:v>
                </c:pt>
                <c:pt idx="253">
                  <c:v>SIMEC Mining - Tahmoor Coal Mine</c:v>
                </c:pt>
                <c:pt idx="254">
                  <c:v>Sino Iron Project - Cape Preston</c:v>
                </c:pt>
                <c:pt idx="255">
                  <c:v>Sojitz Minerva Coal Mine</c:v>
                </c:pt>
                <c:pt idx="256">
                  <c:v>Solomon Mine</c:v>
                </c:pt>
                <c:pt idx="257">
                  <c:v>Sonoma Mine</c:v>
                </c:pt>
                <c:pt idx="258">
                  <c:v>South Denison</c:v>
                </c:pt>
                <c:pt idx="259">
                  <c:v>South Walker Creek</c:v>
                </c:pt>
                <c:pt idx="260">
                  <c:v>South West Queensland Pipeline</c:v>
                </c:pt>
                <c:pt idx="261">
                  <c:v>South West Synthetic Rutile Operations</c:v>
                </c:pt>
                <c:pt idx="262">
                  <c:v>Spring Gully</c:v>
                </c:pt>
                <c:pt idx="263">
                  <c:v>Start up and Operations of the Ichthys LNG Project</c:v>
                </c:pt>
                <c:pt idx="264">
                  <c:v>State Transit Bus Operations</c:v>
                </c:pt>
                <c:pt idx="265">
                  <c:v>Sunrise Dam</c:v>
                </c:pt>
                <c:pt idx="266">
                  <c:v>Swanbank Landfill</c:v>
                </c:pt>
                <c:pt idx="267">
                  <c:v>Talinga</c:v>
                </c:pt>
                <c:pt idx="268">
                  <c:v>Tarrawonga Open-Cut Mine</c:v>
                </c:pt>
                <c:pt idx="269">
                  <c:v>Telfer Gold Mine</c:v>
                </c:pt>
                <c:pt idx="270">
                  <c:v>TEM01</c:v>
                </c:pt>
                <c:pt idx="271">
                  <c:v>The Maddingley Mine Trust</c:v>
                </c:pt>
                <c:pt idx="272">
                  <c:v>Thunderbox</c:v>
                </c:pt>
                <c:pt idx="273">
                  <c:v>Tipton Operations</c:v>
                </c:pt>
                <c:pt idx="274">
                  <c:v>Toll National Transport Facility</c:v>
                </c:pt>
                <c:pt idx="275">
                  <c:v>Tom Price Mine / WTS</c:v>
                </c:pt>
                <c:pt idx="276">
                  <c:v>Tomago Aluminium Smelter</c:v>
                </c:pt>
                <c:pt idx="277">
                  <c:v>Tropicana Gold Mine</c:v>
                </c:pt>
                <c:pt idx="278">
                  <c:v>TT-Line - Victorian Operation</c:v>
                </c:pt>
                <c:pt idx="279">
                  <c:v>Ulan Coal Mine</c:v>
                </c:pt>
                <c:pt idx="280">
                  <c:v>United Coal Mine</c:v>
                </c:pt>
                <c:pt idx="281">
                  <c:v>V/Line</c:v>
                </c:pt>
                <c:pt idx="282">
                  <c:v>Varanus Hub</c:v>
                </c:pt>
                <c:pt idx="283">
                  <c:v>Victoria</c:v>
                </c:pt>
                <c:pt idx="284">
                  <c:v>Victory Road Landfill</c:v>
                </c:pt>
                <c:pt idx="285">
                  <c:v>Vincent Project Venture</c:v>
                </c:pt>
                <c:pt idx="286">
                  <c:v>Virgin Australia Holdings National Transport Facility</c:v>
                </c:pt>
                <c:pt idx="287">
                  <c:v>Visy Paper 8 - Gibson Island</c:v>
                </c:pt>
                <c:pt idx="288">
                  <c:v>WA Oil - Barrow Island</c:v>
                </c:pt>
                <c:pt idx="289">
                  <c:v>Wagerup Alumina Refinery</c:v>
                </c:pt>
                <c:pt idx="290">
                  <c:v>Wambo Coal Mine</c:v>
                </c:pt>
                <c:pt idx="291">
                  <c:v>Warkworth Mine</c:v>
                </c:pt>
                <c:pt idx="292">
                  <c:v>Werris Creek Open-Cut Mine</c:v>
                </c:pt>
                <c:pt idx="293">
                  <c:v>West Angelas Mine</c:v>
                </c:pt>
                <c:pt idx="294">
                  <c:v>West Wallsend Coal Mine</c:v>
                </c:pt>
                <c:pt idx="295">
                  <c:v>Western Australia</c:v>
                </c:pt>
                <c:pt idx="296">
                  <c:v>Western Port Works</c:v>
                </c:pt>
                <c:pt idx="297">
                  <c:v>Wheatstone Operations</c:v>
                </c:pt>
                <c:pt idx="298">
                  <c:v>Wheatstone Project LNG Plant and Associated Facilities</c:v>
                </c:pt>
                <c:pt idx="299">
                  <c:v>Wilkie Creek Coal Mine</c:v>
                </c:pt>
                <c:pt idx="300">
                  <c:v>Wilpinjong Coal Mine</c:v>
                </c:pt>
                <c:pt idx="301">
                  <c:v>Wongawilli mine</c:v>
                </c:pt>
                <c:pt idx="302">
                  <c:v>Woodlawn Bioreactor</c:v>
                </c:pt>
                <c:pt idx="303">
                  <c:v>WOR01 Worsley Alumina Refinery/Mine</c:v>
                </c:pt>
                <c:pt idx="304">
                  <c:v>YAN01 Yandi/Marillana Creek Mine - MNG Facility</c:v>
                </c:pt>
                <c:pt idx="305">
                  <c:v>Yandicoogina Mine</c:v>
                </c:pt>
                <c:pt idx="306">
                  <c:v>Yarrabee Coal Mine (Open Cut)</c:v>
                </c:pt>
                <c:pt idx="307">
                  <c:v>Yarwun Nitrates</c:v>
                </c:pt>
                <c:pt idx="308">
                  <c:v>YPF Ammonia Plant</c:v>
                </c:pt>
              </c:strCache>
            </c:strRef>
          </c:cat>
          <c:val>
            <c:numRef>
              <c:f>'Figure 6 Headroom by facility'!$B$3:$B$311</c:f>
              <c:numCache>
                <c:formatCode>#,##0</c:formatCode>
                <c:ptCount val="309"/>
                <c:pt idx="0">
                  <c:v>100477</c:v>
                </c:pt>
                <c:pt idx="1">
                  <c:v>148286</c:v>
                </c:pt>
                <c:pt idx="2">
                  <c:v>141051</c:v>
                </c:pt>
                <c:pt idx="3">
                  <c:v>96793</c:v>
                </c:pt>
                <c:pt idx="4">
                  <c:v>692925</c:v>
                </c:pt>
                <c:pt idx="5">
                  <c:v>1575387</c:v>
                </c:pt>
                <c:pt idx="6">
                  <c:v>-4099</c:v>
                </c:pt>
                <c:pt idx="7">
                  <c:v>46442</c:v>
                </c:pt>
                <c:pt idx="8">
                  <c:v>0</c:v>
                </c:pt>
                <c:pt idx="9">
                  <c:v>161792</c:v>
                </c:pt>
                <c:pt idx="10">
                  <c:v>-6023</c:v>
                </c:pt>
                <c:pt idx="11">
                  <c:v>29912</c:v>
                </c:pt>
                <c:pt idx="12">
                  <c:v>250214</c:v>
                </c:pt>
                <c:pt idx="13">
                  <c:v>46972</c:v>
                </c:pt>
                <c:pt idx="14">
                  <c:v>169898</c:v>
                </c:pt>
                <c:pt idx="15">
                  <c:v>97737</c:v>
                </c:pt>
                <c:pt idx="16">
                  <c:v>94786</c:v>
                </c:pt>
                <c:pt idx="17">
                  <c:v>44284</c:v>
                </c:pt>
                <c:pt idx="18">
                  <c:v>0</c:v>
                </c:pt>
                <c:pt idx="19">
                  <c:v>283347</c:v>
                </c:pt>
                <c:pt idx="20">
                  <c:v>0</c:v>
                </c:pt>
                <c:pt idx="21">
                  <c:v>130007</c:v>
                </c:pt>
                <c:pt idx="22">
                  <c:v>252425</c:v>
                </c:pt>
                <c:pt idx="23">
                  <c:v>10210</c:v>
                </c:pt>
                <c:pt idx="24">
                  <c:v>637115</c:v>
                </c:pt>
                <c:pt idx="25">
                  <c:v>14483</c:v>
                </c:pt>
                <c:pt idx="26">
                  <c:v>18832</c:v>
                </c:pt>
                <c:pt idx="27">
                  <c:v>128139</c:v>
                </c:pt>
                <c:pt idx="28">
                  <c:v>142819</c:v>
                </c:pt>
                <c:pt idx="29">
                  <c:v>229743</c:v>
                </c:pt>
                <c:pt idx="30">
                  <c:v>2282</c:v>
                </c:pt>
                <c:pt idx="31">
                  <c:v>56332</c:v>
                </c:pt>
                <c:pt idx="32">
                  <c:v>50682</c:v>
                </c:pt>
                <c:pt idx="33">
                  <c:v>9401</c:v>
                </c:pt>
                <c:pt idx="34">
                  <c:v>0</c:v>
                </c:pt>
                <c:pt idx="35">
                  <c:v>232164</c:v>
                </c:pt>
                <c:pt idx="36">
                  <c:v>226806</c:v>
                </c:pt>
                <c:pt idx="37">
                  <c:v>0</c:v>
                </c:pt>
                <c:pt idx="38">
                  <c:v>112476</c:v>
                </c:pt>
                <c:pt idx="39">
                  <c:v>143326</c:v>
                </c:pt>
                <c:pt idx="40">
                  <c:v>-133104</c:v>
                </c:pt>
                <c:pt idx="41">
                  <c:v>109955</c:v>
                </c:pt>
                <c:pt idx="42">
                  <c:v>568927</c:v>
                </c:pt>
                <c:pt idx="43">
                  <c:v>0</c:v>
                </c:pt>
                <c:pt idx="44">
                  <c:v>0</c:v>
                </c:pt>
                <c:pt idx="45">
                  <c:v>56905</c:v>
                </c:pt>
                <c:pt idx="46">
                  <c:v>8577</c:v>
                </c:pt>
                <c:pt idx="47">
                  <c:v>100000</c:v>
                </c:pt>
                <c:pt idx="48">
                  <c:v>125947</c:v>
                </c:pt>
                <c:pt idx="49">
                  <c:v>100000</c:v>
                </c:pt>
                <c:pt idx="50">
                  <c:v>100000</c:v>
                </c:pt>
                <c:pt idx="51">
                  <c:v>280458</c:v>
                </c:pt>
                <c:pt idx="52">
                  <c:v>140367</c:v>
                </c:pt>
                <c:pt idx="53">
                  <c:v>102296</c:v>
                </c:pt>
                <c:pt idx="54">
                  <c:v>119602</c:v>
                </c:pt>
                <c:pt idx="55">
                  <c:v>63864</c:v>
                </c:pt>
                <c:pt idx="56">
                  <c:v>92033</c:v>
                </c:pt>
                <c:pt idx="57">
                  <c:v>100000</c:v>
                </c:pt>
                <c:pt idx="58">
                  <c:v>745860</c:v>
                </c:pt>
                <c:pt idx="59">
                  <c:v>176524</c:v>
                </c:pt>
                <c:pt idx="60">
                  <c:v>154246</c:v>
                </c:pt>
                <c:pt idx="61">
                  <c:v>79800</c:v>
                </c:pt>
                <c:pt idx="62">
                  <c:v>110632</c:v>
                </c:pt>
                <c:pt idx="63">
                  <c:v>703546</c:v>
                </c:pt>
                <c:pt idx="64">
                  <c:v>486155</c:v>
                </c:pt>
                <c:pt idx="65">
                  <c:v>104659</c:v>
                </c:pt>
                <c:pt idx="66">
                  <c:v>126559</c:v>
                </c:pt>
                <c:pt idx="67">
                  <c:v>128005</c:v>
                </c:pt>
                <c:pt idx="68">
                  <c:v>119137</c:v>
                </c:pt>
                <c:pt idx="69">
                  <c:v>32320</c:v>
                </c:pt>
                <c:pt idx="70">
                  <c:v>-24703</c:v>
                </c:pt>
                <c:pt idx="71">
                  <c:v>123514</c:v>
                </c:pt>
                <c:pt idx="72">
                  <c:v>124983</c:v>
                </c:pt>
                <c:pt idx="73">
                  <c:v>233589</c:v>
                </c:pt>
                <c:pt idx="74">
                  <c:v>101225</c:v>
                </c:pt>
                <c:pt idx="75">
                  <c:v>42926</c:v>
                </c:pt>
                <c:pt idx="76">
                  <c:v>363242</c:v>
                </c:pt>
                <c:pt idx="77">
                  <c:v>0</c:v>
                </c:pt>
                <c:pt idx="78">
                  <c:v>170557</c:v>
                </c:pt>
                <c:pt idx="79">
                  <c:v>151530</c:v>
                </c:pt>
                <c:pt idx="80">
                  <c:v>11577</c:v>
                </c:pt>
                <c:pt idx="81">
                  <c:v>-1632</c:v>
                </c:pt>
                <c:pt idx="82">
                  <c:v>0</c:v>
                </c:pt>
                <c:pt idx="83">
                  <c:v>157424</c:v>
                </c:pt>
                <c:pt idx="84">
                  <c:v>-3782</c:v>
                </c:pt>
                <c:pt idx="85">
                  <c:v>148286</c:v>
                </c:pt>
                <c:pt idx="86">
                  <c:v>106831</c:v>
                </c:pt>
                <c:pt idx="87">
                  <c:v>100000</c:v>
                </c:pt>
                <c:pt idx="88">
                  <c:v>328946</c:v>
                </c:pt>
                <c:pt idx="89">
                  <c:v>0</c:v>
                </c:pt>
                <c:pt idx="90">
                  <c:v>98303</c:v>
                </c:pt>
                <c:pt idx="91">
                  <c:v>166612</c:v>
                </c:pt>
                <c:pt idx="92">
                  <c:v>11518</c:v>
                </c:pt>
                <c:pt idx="93">
                  <c:v>312013</c:v>
                </c:pt>
                <c:pt idx="94">
                  <c:v>0</c:v>
                </c:pt>
                <c:pt idx="95">
                  <c:v>-1529</c:v>
                </c:pt>
                <c:pt idx="96">
                  <c:v>180629</c:v>
                </c:pt>
                <c:pt idx="97">
                  <c:v>140033</c:v>
                </c:pt>
                <c:pt idx="98">
                  <c:v>16589</c:v>
                </c:pt>
                <c:pt idx="99">
                  <c:v>72175</c:v>
                </c:pt>
                <c:pt idx="100">
                  <c:v>128998</c:v>
                </c:pt>
                <c:pt idx="101">
                  <c:v>505031</c:v>
                </c:pt>
                <c:pt idx="102">
                  <c:v>448015</c:v>
                </c:pt>
                <c:pt idx="103">
                  <c:v>0</c:v>
                </c:pt>
                <c:pt idx="104">
                  <c:v>841783</c:v>
                </c:pt>
                <c:pt idx="105">
                  <c:v>261572</c:v>
                </c:pt>
                <c:pt idx="106">
                  <c:v>616658</c:v>
                </c:pt>
                <c:pt idx="107">
                  <c:v>118345</c:v>
                </c:pt>
                <c:pt idx="108">
                  <c:v>20716</c:v>
                </c:pt>
                <c:pt idx="109">
                  <c:v>117516</c:v>
                </c:pt>
                <c:pt idx="110">
                  <c:v>146180</c:v>
                </c:pt>
                <c:pt idx="111">
                  <c:v>370100</c:v>
                </c:pt>
                <c:pt idx="112">
                  <c:v>0</c:v>
                </c:pt>
                <c:pt idx="113">
                  <c:v>79700</c:v>
                </c:pt>
                <c:pt idx="114">
                  <c:v>125896</c:v>
                </c:pt>
                <c:pt idx="115">
                  <c:v>-868</c:v>
                </c:pt>
                <c:pt idx="116">
                  <c:v>0</c:v>
                </c:pt>
                <c:pt idx="117">
                  <c:v>613650</c:v>
                </c:pt>
                <c:pt idx="118">
                  <c:v>0</c:v>
                </c:pt>
                <c:pt idx="119">
                  <c:v>1000485</c:v>
                </c:pt>
                <c:pt idx="120">
                  <c:v>846998</c:v>
                </c:pt>
                <c:pt idx="121">
                  <c:v>143095</c:v>
                </c:pt>
                <c:pt idx="122">
                  <c:v>-5186</c:v>
                </c:pt>
                <c:pt idx="123">
                  <c:v>177016</c:v>
                </c:pt>
                <c:pt idx="124">
                  <c:v>8428</c:v>
                </c:pt>
                <c:pt idx="125">
                  <c:v>22869</c:v>
                </c:pt>
                <c:pt idx="126">
                  <c:v>822</c:v>
                </c:pt>
                <c:pt idx="127">
                  <c:v>252829</c:v>
                </c:pt>
                <c:pt idx="128">
                  <c:v>44420</c:v>
                </c:pt>
                <c:pt idx="129">
                  <c:v>22897</c:v>
                </c:pt>
                <c:pt idx="130">
                  <c:v>26110</c:v>
                </c:pt>
                <c:pt idx="131">
                  <c:v>15418</c:v>
                </c:pt>
                <c:pt idx="132">
                  <c:v>78714</c:v>
                </c:pt>
                <c:pt idx="133">
                  <c:v>12050</c:v>
                </c:pt>
                <c:pt idx="134">
                  <c:v>83871</c:v>
                </c:pt>
                <c:pt idx="135">
                  <c:v>134238</c:v>
                </c:pt>
                <c:pt idx="136">
                  <c:v>0</c:v>
                </c:pt>
                <c:pt idx="137">
                  <c:v>0</c:v>
                </c:pt>
                <c:pt idx="138">
                  <c:v>135585</c:v>
                </c:pt>
                <c:pt idx="139">
                  <c:v>0</c:v>
                </c:pt>
                <c:pt idx="140">
                  <c:v>283703</c:v>
                </c:pt>
                <c:pt idx="141">
                  <c:v>0</c:v>
                </c:pt>
                <c:pt idx="142">
                  <c:v>0</c:v>
                </c:pt>
                <c:pt idx="143">
                  <c:v>158055</c:v>
                </c:pt>
                <c:pt idx="144">
                  <c:v>82105</c:v>
                </c:pt>
                <c:pt idx="145">
                  <c:v>22605</c:v>
                </c:pt>
                <c:pt idx="146">
                  <c:v>223068</c:v>
                </c:pt>
                <c:pt idx="147">
                  <c:v>0</c:v>
                </c:pt>
                <c:pt idx="148">
                  <c:v>187033</c:v>
                </c:pt>
                <c:pt idx="149">
                  <c:v>0</c:v>
                </c:pt>
                <c:pt idx="150">
                  <c:v>235736</c:v>
                </c:pt>
                <c:pt idx="151">
                  <c:v>-22822</c:v>
                </c:pt>
                <c:pt idx="152">
                  <c:v>26731</c:v>
                </c:pt>
                <c:pt idx="153">
                  <c:v>14590</c:v>
                </c:pt>
                <c:pt idx="154">
                  <c:v>85933</c:v>
                </c:pt>
                <c:pt idx="155">
                  <c:v>22835</c:v>
                </c:pt>
                <c:pt idx="156">
                  <c:v>298126</c:v>
                </c:pt>
                <c:pt idx="157">
                  <c:v>98276</c:v>
                </c:pt>
                <c:pt idx="158">
                  <c:v>105869</c:v>
                </c:pt>
                <c:pt idx="159">
                  <c:v>59781</c:v>
                </c:pt>
                <c:pt idx="160">
                  <c:v>89404</c:v>
                </c:pt>
                <c:pt idx="161">
                  <c:v>0</c:v>
                </c:pt>
                <c:pt idx="162">
                  <c:v>250231</c:v>
                </c:pt>
                <c:pt idx="163">
                  <c:v>0</c:v>
                </c:pt>
                <c:pt idx="164">
                  <c:v>141275</c:v>
                </c:pt>
                <c:pt idx="165">
                  <c:v>392492</c:v>
                </c:pt>
                <c:pt idx="166">
                  <c:v>0</c:v>
                </c:pt>
                <c:pt idx="167">
                  <c:v>-8033</c:v>
                </c:pt>
                <c:pt idx="168">
                  <c:v>65598</c:v>
                </c:pt>
                <c:pt idx="169">
                  <c:v>96550</c:v>
                </c:pt>
                <c:pt idx="170">
                  <c:v>100000</c:v>
                </c:pt>
                <c:pt idx="171">
                  <c:v>99567</c:v>
                </c:pt>
                <c:pt idx="172">
                  <c:v>286093</c:v>
                </c:pt>
                <c:pt idx="173">
                  <c:v>156813</c:v>
                </c:pt>
                <c:pt idx="174">
                  <c:v>227315</c:v>
                </c:pt>
                <c:pt idx="175">
                  <c:v>703108</c:v>
                </c:pt>
                <c:pt idx="176">
                  <c:v>49520</c:v>
                </c:pt>
                <c:pt idx="177">
                  <c:v>208038</c:v>
                </c:pt>
                <c:pt idx="178">
                  <c:v>235957</c:v>
                </c:pt>
                <c:pt idx="179">
                  <c:v>103467</c:v>
                </c:pt>
                <c:pt idx="180">
                  <c:v>0</c:v>
                </c:pt>
                <c:pt idx="181">
                  <c:v>272513</c:v>
                </c:pt>
                <c:pt idx="182">
                  <c:v>4884</c:v>
                </c:pt>
                <c:pt idx="183">
                  <c:v>18702</c:v>
                </c:pt>
                <c:pt idx="184">
                  <c:v>152368</c:v>
                </c:pt>
                <c:pt idx="185">
                  <c:v>8641</c:v>
                </c:pt>
                <c:pt idx="186">
                  <c:v>494232</c:v>
                </c:pt>
                <c:pt idx="187">
                  <c:v>-86812</c:v>
                </c:pt>
                <c:pt idx="188">
                  <c:v>-15473</c:v>
                </c:pt>
                <c:pt idx="189">
                  <c:v>100000</c:v>
                </c:pt>
                <c:pt idx="190">
                  <c:v>89116</c:v>
                </c:pt>
                <c:pt idx="191">
                  <c:v>-5767</c:v>
                </c:pt>
                <c:pt idx="192">
                  <c:v>0</c:v>
                </c:pt>
                <c:pt idx="193">
                  <c:v>149986</c:v>
                </c:pt>
                <c:pt idx="194">
                  <c:v>805896</c:v>
                </c:pt>
                <c:pt idx="195">
                  <c:v>7464</c:v>
                </c:pt>
                <c:pt idx="196">
                  <c:v>165594</c:v>
                </c:pt>
                <c:pt idx="197">
                  <c:v>161610</c:v>
                </c:pt>
                <c:pt idx="198">
                  <c:v>406527</c:v>
                </c:pt>
                <c:pt idx="199">
                  <c:v>19415</c:v>
                </c:pt>
                <c:pt idx="200">
                  <c:v>73680</c:v>
                </c:pt>
                <c:pt idx="201">
                  <c:v>1481828</c:v>
                </c:pt>
                <c:pt idx="202">
                  <c:v>16582</c:v>
                </c:pt>
                <c:pt idx="203">
                  <c:v>204908</c:v>
                </c:pt>
                <c:pt idx="204">
                  <c:v>161564</c:v>
                </c:pt>
                <c:pt idx="205">
                  <c:v>133960</c:v>
                </c:pt>
                <c:pt idx="206">
                  <c:v>8922</c:v>
                </c:pt>
                <c:pt idx="207">
                  <c:v>61483</c:v>
                </c:pt>
                <c:pt idx="208">
                  <c:v>79909</c:v>
                </c:pt>
                <c:pt idx="209">
                  <c:v>417830</c:v>
                </c:pt>
                <c:pt idx="210">
                  <c:v>100000</c:v>
                </c:pt>
                <c:pt idx="211">
                  <c:v>17816</c:v>
                </c:pt>
                <c:pt idx="212">
                  <c:v>140648</c:v>
                </c:pt>
                <c:pt idx="213">
                  <c:v>4848995</c:v>
                </c:pt>
                <c:pt idx="214">
                  <c:v>118950</c:v>
                </c:pt>
                <c:pt idx="215">
                  <c:v>177735</c:v>
                </c:pt>
                <c:pt idx="216">
                  <c:v>132363</c:v>
                </c:pt>
                <c:pt idx="217">
                  <c:v>20881</c:v>
                </c:pt>
                <c:pt idx="218">
                  <c:v>126979</c:v>
                </c:pt>
                <c:pt idx="219">
                  <c:v>336075</c:v>
                </c:pt>
                <c:pt idx="220">
                  <c:v>21684</c:v>
                </c:pt>
                <c:pt idx="221">
                  <c:v>-43319</c:v>
                </c:pt>
                <c:pt idx="222">
                  <c:v>430469</c:v>
                </c:pt>
                <c:pt idx="223">
                  <c:v>430469</c:v>
                </c:pt>
                <c:pt idx="224">
                  <c:v>192809</c:v>
                </c:pt>
                <c:pt idx="225">
                  <c:v>149010</c:v>
                </c:pt>
                <c:pt idx="226">
                  <c:v>0</c:v>
                </c:pt>
                <c:pt idx="227">
                  <c:v>102040</c:v>
                </c:pt>
                <c:pt idx="228">
                  <c:v>463497</c:v>
                </c:pt>
                <c:pt idx="229">
                  <c:v>523831</c:v>
                </c:pt>
                <c:pt idx="230">
                  <c:v>10367</c:v>
                </c:pt>
                <c:pt idx="231">
                  <c:v>13442</c:v>
                </c:pt>
                <c:pt idx="232">
                  <c:v>22713</c:v>
                </c:pt>
                <c:pt idx="233">
                  <c:v>42547</c:v>
                </c:pt>
                <c:pt idx="234">
                  <c:v>700615</c:v>
                </c:pt>
                <c:pt idx="235">
                  <c:v>116767</c:v>
                </c:pt>
                <c:pt idx="236">
                  <c:v>21354</c:v>
                </c:pt>
                <c:pt idx="237">
                  <c:v>2980</c:v>
                </c:pt>
                <c:pt idx="238">
                  <c:v>91083</c:v>
                </c:pt>
                <c:pt idx="239">
                  <c:v>964</c:v>
                </c:pt>
                <c:pt idx="240">
                  <c:v>118700</c:v>
                </c:pt>
                <c:pt idx="241">
                  <c:v>376348</c:v>
                </c:pt>
                <c:pt idx="242">
                  <c:v>186742</c:v>
                </c:pt>
                <c:pt idx="243">
                  <c:v>127802</c:v>
                </c:pt>
                <c:pt idx="244">
                  <c:v>28001</c:v>
                </c:pt>
                <c:pt idx="245">
                  <c:v>192858</c:v>
                </c:pt>
                <c:pt idx="246">
                  <c:v>655650</c:v>
                </c:pt>
                <c:pt idx="247">
                  <c:v>105065</c:v>
                </c:pt>
                <c:pt idx="248">
                  <c:v>158691</c:v>
                </c:pt>
                <c:pt idx="249">
                  <c:v>0</c:v>
                </c:pt>
                <c:pt idx="250">
                  <c:v>0</c:v>
                </c:pt>
                <c:pt idx="251">
                  <c:v>145847</c:v>
                </c:pt>
                <c:pt idx="252">
                  <c:v>121547</c:v>
                </c:pt>
                <c:pt idx="253">
                  <c:v>-81851</c:v>
                </c:pt>
                <c:pt idx="254">
                  <c:v>241526</c:v>
                </c:pt>
                <c:pt idx="255">
                  <c:v>128041</c:v>
                </c:pt>
                <c:pt idx="256">
                  <c:v>53046</c:v>
                </c:pt>
                <c:pt idx="257">
                  <c:v>215840</c:v>
                </c:pt>
                <c:pt idx="258">
                  <c:v>146128</c:v>
                </c:pt>
                <c:pt idx="259">
                  <c:v>-23976</c:v>
                </c:pt>
                <c:pt idx="260">
                  <c:v>148776</c:v>
                </c:pt>
                <c:pt idx="261">
                  <c:v>86735</c:v>
                </c:pt>
                <c:pt idx="262">
                  <c:v>39434</c:v>
                </c:pt>
                <c:pt idx="263">
                  <c:v>0</c:v>
                </c:pt>
                <c:pt idx="264">
                  <c:v>-7942</c:v>
                </c:pt>
                <c:pt idx="265">
                  <c:v>27205</c:v>
                </c:pt>
                <c:pt idx="266">
                  <c:v>201349</c:v>
                </c:pt>
                <c:pt idx="267">
                  <c:v>33766</c:v>
                </c:pt>
                <c:pt idx="268">
                  <c:v>125025</c:v>
                </c:pt>
                <c:pt idx="269">
                  <c:v>160886</c:v>
                </c:pt>
                <c:pt idx="270">
                  <c:v>57878</c:v>
                </c:pt>
                <c:pt idx="271">
                  <c:v>146390</c:v>
                </c:pt>
                <c:pt idx="272">
                  <c:v>0</c:v>
                </c:pt>
                <c:pt idx="273">
                  <c:v>143038</c:v>
                </c:pt>
                <c:pt idx="274">
                  <c:v>98841</c:v>
                </c:pt>
                <c:pt idx="275">
                  <c:v>34151</c:v>
                </c:pt>
                <c:pt idx="276">
                  <c:v>36629</c:v>
                </c:pt>
                <c:pt idx="277">
                  <c:v>43832</c:v>
                </c:pt>
                <c:pt idx="278">
                  <c:v>-7639</c:v>
                </c:pt>
                <c:pt idx="279">
                  <c:v>123668</c:v>
                </c:pt>
                <c:pt idx="280">
                  <c:v>518638</c:v>
                </c:pt>
                <c:pt idx="281">
                  <c:v>15510</c:v>
                </c:pt>
                <c:pt idx="282">
                  <c:v>357435</c:v>
                </c:pt>
                <c:pt idx="283">
                  <c:v>0</c:v>
                </c:pt>
                <c:pt idx="284">
                  <c:v>100981</c:v>
                </c:pt>
                <c:pt idx="285">
                  <c:v>301779</c:v>
                </c:pt>
                <c:pt idx="286">
                  <c:v>132428</c:v>
                </c:pt>
                <c:pt idx="287">
                  <c:v>107134</c:v>
                </c:pt>
                <c:pt idx="288">
                  <c:v>152278</c:v>
                </c:pt>
                <c:pt idx="289">
                  <c:v>47938</c:v>
                </c:pt>
                <c:pt idx="290">
                  <c:v>231344</c:v>
                </c:pt>
                <c:pt idx="291">
                  <c:v>324590</c:v>
                </c:pt>
                <c:pt idx="292">
                  <c:v>130642</c:v>
                </c:pt>
                <c:pt idx="293">
                  <c:v>7337</c:v>
                </c:pt>
                <c:pt idx="294">
                  <c:v>314828</c:v>
                </c:pt>
                <c:pt idx="295">
                  <c:v>0</c:v>
                </c:pt>
                <c:pt idx="296">
                  <c:v>9173</c:v>
                </c:pt>
                <c:pt idx="297">
                  <c:v>0</c:v>
                </c:pt>
                <c:pt idx="298">
                  <c:v>59504</c:v>
                </c:pt>
                <c:pt idx="299">
                  <c:v>122356</c:v>
                </c:pt>
                <c:pt idx="300">
                  <c:v>686913</c:v>
                </c:pt>
                <c:pt idx="301">
                  <c:v>294217</c:v>
                </c:pt>
                <c:pt idx="302">
                  <c:v>142756</c:v>
                </c:pt>
                <c:pt idx="303">
                  <c:v>61404</c:v>
                </c:pt>
                <c:pt idx="304">
                  <c:v>7364</c:v>
                </c:pt>
                <c:pt idx="305">
                  <c:v>-9752</c:v>
                </c:pt>
                <c:pt idx="306">
                  <c:v>19806</c:v>
                </c:pt>
                <c:pt idx="307">
                  <c:v>883945</c:v>
                </c:pt>
                <c:pt idx="308">
                  <c:v>1623773</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9C9B-4B36-A7ED-61C126162CCB}"/>
            </c:ext>
          </c:extLst>
        </c:ser>
        <c:ser>
          <c:idx val="1"/>
          <c:order val="1"/>
          <c:tx>
            <c:v>2017-18</c:v>
          </c:tx>
          <c:spPr>
            <a:solidFill>
              <a:srgbClr val="79B88D"/>
            </a:solidFill>
            <a:ln cmpd="sng">
              <a:solidFill>
                <a:srgbClr val="000000"/>
              </a:solidFill>
            </a:ln>
          </c:spPr>
          <c:invertIfNegative val="1"/>
          <c:cat>
            <c:strRef>
              <c:f>'Figure 6 Headroom by facility'!$A$3:$A$311</c:f>
              <c:strCache>
                <c:ptCount val="309"/>
                <c:pt idx="0">
                  <c:v>1. Solid Waste Services - MRL</c:v>
                </c:pt>
                <c:pt idx="1">
                  <c:v>Abel Underground Coal Mine</c:v>
                </c:pt>
                <c:pt idx="2">
                  <c:v>AER Rail Freight QLD</c:v>
                </c:pt>
                <c:pt idx="3">
                  <c:v>Angaston Operations</c:v>
                </c:pt>
                <c:pt idx="4">
                  <c:v>APLNG Facility</c:v>
                </c:pt>
                <c:pt idx="5">
                  <c:v>APN01 Appin Colliery - ICH Facility</c:v>
                </c:pt>
                <c:pt idx="6">
                  <c:v>APU01 Pyrenees - AOA Facility</c:v>
                </c:pt>
                <c:pt idx="7">
                  <c:v>ARC01 Mining Area C - MNG Facility</c:v>
                </c:pt>
                <c:pt idx="8">
                  <c:v>Arcadia</c:v>
                </c:pt>
                <c:pt idx="9">
                  <c:v>Ashton Coal Mine (Underground)</c:v>
                </c:pt>
                <c:pt idx="10">
                  <c:v>ATCO Gas Australia Pty Ltd</c:v>
                </c:pt>
                <c:pt idx="11">
                  <c:v>Aurizon Rail Freight NSW</c:v>
                </c:pt>
                <c:pt idx="12">
                  <c:v>Aurizon Rail Freight QLD</c:v>
                </c:pt>
                <c:pt idx="13">
                  <c:v>Aurizon Rail Freight WA</c:v>
                </c:pt>
                <c:pt idx="14">
                  <c:v>AusNet Gas Services Pty Ltd</c:v>
                </c:pt>
                <c:pt idx="15">
                  <c:v>Austar Coal Mine (Underground)</c:v>
                </c:pt>
                <c:pt idx="16">
                  <c:v>Australian Gas Networks (SA) Ltd</c:v>
                </c:pt>
                <c:pt idx="17">
                  <c:v>Australian Gas Networks (Vic) Pty Ltd</c:v>
                </c:pt>
                <c:pt idx="18">
                  <c:v>AWR Rail Freight WA</c:v>
                </c:pt>
                <c:pt idx="19">
                  <c:v>Ballera</c:v>
                </c:pt>
                <c:pt idx="20">
                  <c:v>Baralaba Coal Mine</c:v>
                </c:pt>
                <c:pt idx="21">
                  <c:v>Basker Manta Gummy</c:v>
                </c:pt>
                <c:pt idx="22">
                  <c:v>Batchfire Resources No.1</c:v>
                </c:pt>
                <c:pt idx="23">
                  <c:v>Bell Bay Smelter</c:v>
                </c:pt>
                <c:pt idx="24">
                  <c:v>Beltana / Blakefield South</c:v>
                </c:pt>
                <c:pt idx="25">
                  <c:v>Bengalla Operations</c:v>
                </c:pt>
                <c:pt idx="26">
                  <c:v>Big Lake Gas</c:v>
                </c:pt>
                <c:pt idx="27">
                  <c:v>Birkenhead Operations</c:v>
                </c:pt>
                <c:pt idx="28">
                  <c:v>Blackwater Mine</c:v>
                </c:pt>
                <c:pt idx="29">
                  <c:v>Blair Athol Mine</c:v>
                </c:pt>
                <c:pt idx="30">
                  <c:v>Boggabri Coal Minesite</c:v>
                </c:pt>
                <c:pt idx="31">
                  <c:v>Boyne Smelters Limited</c:v>
                </c:pt>
                <c:pt idx="32">
                  <c:v>Brockman 2 / Nammuldi Mines</c:v>
                </c:pt>
                <c:pt idx="33">
                  <c:v>Brockman 4 Mine</c:v>
                </c:pt>
                <c:pt idx="34">
                  <c:v>Bulga Coal Complex</c:v>
                </c:pt>
                <c:pt idx="35">
                  <c:v>Bulga Opencut</c:v>
                </c:pt>
                <c:pt idx="36">
                  <c:v>Burton Mine</c:v>
                </c:pt>
                <c:pt idx="37">
                  <c:v>Byerwen Mine</c:v>
                </c:pt>
                <c:pt idx="38">
                  <c:v>Cadia Valley Operations</c:v>
                </c:pt>
                <c:pt idx="39">
                  <c:v>CAN01</c:v>
                </c:pt>
                <c:pt idx="40">
                  <c:v>Capcoal Mine</c:v>
                </c:pt>
                <c:pt idx="41">
                  <c:v>Cape Lambert Port Operations</c:v>
                </c:pt>
                <c:pt idx="42">
                  <c:v>Carborough Downs coal mine</c:v>
                </c:pt>
                <c:pt idx="43">
                  <c:v>Carmichael Coal Mine</c:v>
                </c:pt>
                <c:pt idx="44">
                  <c:v>Carosue Dam</c:v>
                </c:pt>
                <c:pt idx="45">
                  <c:v>Caval Ridge Mine</c:v>
                </c:pt>
                <c:pt idx="46">
                  <c:v>CEM NSW Berrima</c:v>
                </c:pt>
                <c:pt idx="47">
                  <c:v>CEM NSW Maldon</c:v>
                </c:pt>
                <c:pt idx="48">
                  <c:v>CEM NSW Marulan</c:v>
                </c:pt>
                <c:pt idx="49">
                  <c:v>CEM VIC Waurn Ponds</c:v>
                </c:pt>
                <c:pt idx="50">
                  <c:v>Central Mine</c:v>
                </c:pt>
                <c:pt idx="51">
                  <c:v>Chain Valley Colliery</c:v>
                </c:pt>
                <c:pt idx="52">
                  <c:v>Chandala Processing Plant</c:v>
                </c:pt>
                <c:pt idx="53">
                  <c:v>Charbon Lime Manufacturing Plant</c:v>
                </c:pt>
                <c:pt idx="54">
                  <c:v>Christmas Creek Mine</c:v>
                </c:pt>
                <c:pt idx="55">
                  <c:v>Clermont Coal Operations</c:v>
                </c:pt>
                <c:pt idx="56">
                  <c:v>Cloudbreak Mine</c:v>
                </c:pt>
                <c:pt idx="57">
                  <c:v>Clyde Terminal</c:v>
                </c:pt>
                <c:pt idx="58">
                  <c:v>Cockburn Operations</c:v>
                </c:pt>
                <c:pt idx="59">
                  <c:v>Collinsville Mine</c:v>
                </c:pt>
                <c:pt idx="60">
                  <c:v>Condabri</c:v>
                </c:pt>
                <c:pt idx="61">
                  <c:v>Cook Colliery</c:v>
                </c:pt>
                <c:pt idx="62">
                  <c:v>Coppabella Coal Mine</c:v>
                </c:pt>
                <c:pt idx="63">
                  <c:v>CSBP Kwinana Facility</c:v>
                </c:pt>
                <c:pt idx="64">
                  <c:v>Curragh Mine</c:v>
                </c:pt>
                <c:pt idx="65">
                  <c:v>Curtis Island GLNG Plant</c:v>
                </c:pt>
                <c:pt idx="66">
                  <c:v>Daandine Operations</c:v>
                </c:pt>
                <c:pt idx="67">
                  <c:v>Dandenong</c:v>
                </c:pt>
                <c:pt idx="68">
                  <c:v>Dartbrook Coal Mine</c:v>
                </c:pt>
                <c:pt idx="69">
                  <c:v>Darwin LNG Plant</c:v>
                </c:pt>
                <c:pt idx="70">
                  <c:v>Daunia Mine</c:v>
                </c:pt>
                <c:pt idx="71">
                  <c:v>Dawson Mine</c:v>
                </c:pt>
                <c:pt idx="72">
                  <c:v>DBNGP</c:v>
                </c:pt>
                <c:pt idx="73">
                  <c:v>DEN01</c:v>
                </c:pt>
                <c:pt idx="74">
                  <c:v>Dongara Operations</c:v>
                </c:pt>
                <c:pt idx="75">
                  <c:v>Drake Mine</c:v>
                </c:pt>
                <c:pt idx="76">
                  <c:v>Drayton Mine</c:v>
                </c:pt>
                <c:pt idx="77">
                  <c:v>Duketon South Operations</c:v>
                </c:pt>
                <c:pt idx="78">
                  <c:v>Duralie Open Cut Mine</c:v>
                </c:pt>
                <c:pt idx="79">
                  <c:v>Eastern Creek Landfill (combined)</c:v>
                </c:pt>
                <c:pt idx="80">
                  <c:v>Eastern Gas Pipeline</c:v>
                </c:pt>
                <c:pt idx="81">
                  <c:v>Eastern Ridge Mine</c:v>
                </c:pt>
                <c:pt idx="82">
                  <c:v>Eliwana Mine</c:v>
                </c:pt>
                <c:pt idx="83">
                  <c:v>Elizabeth Drive Landfill</c:v>
                </c:pt>
                <c:pt idx="84">
                  <c:v>Enfield Project Venture</c:v>
                </c:pt>
                <c:pt idx="85">
                  <c:v>Ensham Resources Minesite</c:v>
                </c:pt>
                <c:pt idx="86">
                  <c:v>Ergon Energy Network Facility</c:v>
                </c:pt>
                <c:pt idx="87">
                  <c:v>Ernest Henry Mining Operations</c:v>
                </c:pt>
                <c:pt idx="88">
                  <c:v>Erskine Park Landfill</c:v>
                </c:pt>
                <c:pt idx="89">
                  <c:v>Facility WA CTC</c:v>
                </c:pt>
                <c:pt idx="90">
                  <c:v>Fairview</c:v>
                </c:pt>
                <c:pt idx="91">
                  <c:v>Farstad Shipping Offshore Operations Western Australia</c:v>
                </c:pt>
                <c:pt idx="92">
                  <c:v>Fimiston</c:v>
                </c:pt>
                <c:pt idx="93">
                  <c:v>Fisherman's Landing</c:v>
                </c:pt>
                <c:pt idx="94">
                  <c:v>FLNG</c:v>
                </c:pt>
                <c:pt idx="95">
                  <c:v>Fortescue Rail</c:v>
                </c:pt>
                <c:pt idx="96">
                  <c:v>Foxleigh Mine</c:v>
                </c:pt>
                <c:pt idx="97">
                  <c:v>Geelong Refinery</c:v>
                </c:pt>
                <c:pt idx="98">
                  <c:v>GEM01</c:v>
                </c:pt>
                <c:pt idx="99">
                  <c:v>Gibson Island</c:v>
                </c:pt>
                <c:pt idx="100">
                  <c:v>Gidgealpa Gas</c:v>
                </c:pt>
                <c:pt idx="101">
                  <c:v>Gippsland Basin facility</c:v>
                </c:pt>
                <c:pt idx="102">
                  <c:v>Glendell Mine</c:v>
                </c:pt>
                <c:pt idx="103">
                  <c:v>Goldfields Gas Transmission Pipeline</c:v>
                </c:pt>
                <c:pt idx="104">
                  <c:v>Goonyella Broadmeadow Mine</c:v>
                </c:pt>
                <c:pt idx="105">
                  <c:v>Gorgon Downstream</c:v>
                </c:pt>
                <c:pt idx="106">
                  <c:v>Gorgon Operations</c:v>
                </c:pt>
                <c:pt idx="107">
                  <c:v>Gorgon Upstream</c:v>
                </c:pt>
                <c:pt idx="108">
                  <c:v>Gove Operations</c:v>
                </c:pt>
                <c:pt idx="109">
                  <c:v>Granny Smith Mine Site</c:v>
                </c:pt>
                <c:pt idx="110">
                  <c:v>Griffin Coal Mine</c:v>
                </c:pt>
                <c:pt idx="111">
                  <c:v>Grosvenor Mine</c:v>
                </c:pt>
                <c:pt idx="112">
                  <c:v>Gruyere Mine Site</c:v>
                </c:pt>
                <c:pt idx="113">
                  <c:v>Hail Creek Mine</c:v>
                </c:pt>
                <c:pt idx="114">
                  <c:v>Hallam Road Landfill</c:v>
                </c:pt>
                <c:pt idx="115">
                  <c:v>Hope Downs 1 Mine</c:v>
                </c:pt>
                <c:pt idx="116">
                  <c:v>Hope Downs 4 Mine</c:v>
                </c:pt>
                <c:pt idx="117">
                  <c:v>Hunter Valley Operations mine</c:v>
                </c:pt>
                <c:pt idx="118">
                  <c:v>Huntly Mine</c:v>
                </c:pt>
                <c:pt idx="119">
                  <c:v>HVY01 Hunter Valley Energy Coal - CCL Facility</c:v>
                </c:pt>
                <c:pt idx="120">
                  <c:v>Integra Underground Mine</c:v>
                </c:pt>
                <c:pt idx="121">
                  <c:v>Isaac Plains Coal Mine</c:v>
                </c:pt>
                <c:pt idx="122">
                  <c:v>Jellinbah Mine</c:v>
                </c:pt>
                <c:pt idx="123">
                  <c:v>JGN</c:v>
                </c:pt>
                <c:pt idx="124">
                  <c:v>Jimblebar Mine</c:v>
                </c:pt>
                <c:pt idx="125">
                  <c:v>Jundee Gold Mine</c:v>
                </c:pt>
                <c:pt idx="126">
                  <c:v>Kemerton Silicon Smelter</c:v>
                </c:pt>
                <c:pt idx="127">
                  <c:v>Kestrel Mine</c:v>
                </c:pt>
                <c:pt idx="128">
                  <c:v>Koolyanobbing/Windarling Operations</c:v>
                </c:pt>
                <c:pt idx="129">
                  <c:v>Kooragang Island</c:v>
                </c:pt>
                <c:pt idx="130">
                  <c:v>Kwinana Alumina Refinery</c:v>
                </c:pt>
                <c:pt idx="131">
                  <c:v>Kwinana Pigment Plant</c:v>
                </c:pt>
                <c:pt idx="132">
                  <c:v>Kwinana Refinery</c:v>
                </c:pt>
                <c:pt idx="133">
                  <c:v>Lake Vermont Mine</c:v>
                </c:pt>
                <c:pt idx="134">
                  <c:v>Lang Lang</c:v>
                </c:pt>
                <c:pt idx="135">
                  <c:v>Lawn Hill Mine</c:v>
                </c:pt>
                <c:pt idx="136">
                  <c:v>Leonora Operations</c:v>
                </c:pt>
                <c:pt idx="137">
                  <c:v>Liberty OneSteel Laverton Steel Mill</c:v>
                </c:pt>
                <c:pt idx="138">
                  <c:v>Liberty Primary Steel Whyalla Steelworks</c:v>
                </c:pt>
                <c:pt idx="139">
                  <c:v>Liberty Steel Laverton Steel Mill</c:v>
                </c:pt>
                <c:pt idx="140">
                  <c:v>Liddell Coal Mine</c:v>
                </c:pt>
                <c:pt idx="141">
                  <c:v>LNG Pipeline</c:v>
                </c:pt>
                <c:pt idx="142">
                  <c:v>Mandalong Mine</c:v>
                </c:pt>
                <c:pt idx="143">
                  <c:v>Mangoola</c:v>
                </c:pt>
                <c:pt idx="144">
                  <c:v>Mannering Colliery</c:v>
                </c:pt>
                <c:pt idx="145">
                  <c:v>Marandoo Mine</c:v>
                </c:pt>
                <c:pt idx="146">
                  <c:v>Maules Creek Open Cut Mine</c:v>
                </c:pt>
                <c:pt idx="147">
                  <c:v>McArthur River Mining Operations</c:v>
                </c:pt>
                <c:pt idx="148">
                  <c:v>Meandu Coal Mine</c:v>
                </c:pt>
                <c:pt idx="149">
                  <c:v>Mesa A Mine</c:v>
                </c:pt>
                <c:pt idx="150">
                  <c:v>Metropolitan Colliery</c:v>
                </c:pt>
                <c:pt idx="151">
                  <c:v>Middlemount Coal Mine</c:v>
                </c:pt>
                <c:pt idx="152">
                  <c:v>Millennium Coal Mine</c:v>
                </c:pt>
                <c:pt idx="153">
                  <c:v>Millicent Mill</c:v>
                </c:pt>
                <c:pt idx="154">
                  <c:v>Mobil Altona Refinery</c:v>
                </c:pt>
                <c:pt idx="155">
                  <c:v>Montara Operations</c:v>
                </c:pt>
                <c:pt idx="156">
                  <c:v>Moolarben Coal Mine (Open Cut &amp; Underground)</c:v>
                </c:pt>
                <c:pt idx="157">
                  <c:v>Moomba Plant</c:v>
                </c:pt>
                <c:pt idx="158">
                  <c:v>Moomba South Central Gas</c:v>
                </c:pt>
                <c:pt idx="159">
                  <c:v>Moorvale Coal Mine</c:v>
                </c:pt>
                <c:pt idx="160">
                  <c:v>Moranbah</c:v>
                </c:pt>
                <c:pt idx="161">
                  <c:v>Moranbah North Mine</c:v>
                </c:pt>
                <c:pt idx="162">
                  <c:v>Mount Isa Mines Copper and Zinc Operations</c:v>
                </c:pt>
                <c:pt idx="163">
                  <c:v>Mount Pleasant Operations</c:v>
                </c:pt>
                <c:pt idx="164">
                  <c:v>Mount Thorley Operations</c:v>
                </c:pt>
                <c:pt idx="165">
                  <c:v>Mt Owen Coal Mine</c:v>
                </c:pt>
                <c:pt idx="166">
                  <c:v>Mt Owen Glendell Complex</c:v>
                </c:pt>
                <c:pt idx="167">
                  <c:v>Multinet Principal Distribution Network and South Gippsland Pipeline</c:v>
                </c:pt>
                <c:pt idx="168">
                  <c:v>Murrin Murrin Operations</c:v>
                </c:pt>
                <c:pt idx="169">
                  <c:v>Myuna Colliery</c:v>
                </c:pt>
                <c:pt idx="170">
                  <c:v>Narngulu Synthetic Rutile Processing Operations</c:v>
                </c:pt>
                <c:pt idx="171">
                  <c:v>Narrabri Underground Mine</c:v>
                </c:pt>
                <c:pt idx="172">
                  <c:v>New Acland Mine</c:v>
                </c:pt>
                <c:pt idx="173">
                  <c:v>New Chum Landfill</c:v>
                </c:pt>
                <c:pt idx="174">
                  <c:v>New Illawarra Road Landfill</c:v>
                </c:pt>
                <c:pt idx="175">
                  <c:v>Newlands Coal Complex including Newlands Northern UG</c:v>
                </c:pt>
                <c:pt idx="176">
                  <c:v>Newman Operations</c:v>
                </c:pt>
                <c:pt idx="177">
                  <c:v>Newmont Boddington Gold Operation</c:v>
                </c:pt>
                <c:pt idx="178">
                  <c:v>Newmont Tanami Operation</c:v>
                </c:pt>
                <c:pt idx="179">
                  <c:v>Newstan Colliery</c:v>
                </c:pt>
                <c:pt idx="180">
                  <c:v>NGP</c:v>
                </c:pt>
                <c:pt idx="181">
                  <c:v>Ningaloo Vision FPSO</c:v>
                </c:pt>
                <c:pt idx="182">
                  <c:v>NKS01 Nickel West Kalgoorlie Facility</c:v>
                </c:pt>
                <c:pt idx="183">
                  <c:v>NKW01 Nickel West Kwinana Facility</c:v>
                </c:pt>
                <c:pt idx="184">
                  <c:v>NMK01 Nickel West Mt Keith Facility</c:v>
                </c:pt>
                <c:pt idx="185">
                  <c:v>Norske Skog Boyer Mill</c:v>
                </c:pt>
                <c:pt idx="186">
                  <c:v>North Goonyella Coal Mine</c:v>
                </c:pt>
                <c:pt idx="187">
                  <c:v>North West Shelf Project</c:v>
                </c:pt>
                <c:pt idx="188">
                  <c:v>Northern Endeavour FPSO</c:v>
                </c:pt>
                <c:pt idx="189">
                  <c:v>Norwich Park Mine</c:v>
                </c:pt>
                <c:pt idx="190">
                  <c:v>Nowra Plant</c:v>
                </c:pt>
                <c:pt idx="191">
                  <c:v>Nyrstar Port Pirie Facility</c:v>
                </c:pt>
                <c:pt idx="192">
                  <c:v>Nyrstar Port Pirie Smelter</c:v>
                </c:pt>
                <c:pt idx="193">
                  <c:v>O-I Melbourne Plant</c:v>
                </c:pt>
                <c:pt idx="194">
                  <c:v>Oaky Creek Coal Complex</c:v>
                </c:pt>
                <c:pt idx="195">
                  <c:v>ODS01 Olympic Dam - UOD Facility</c:v>
                </c:pt>
                <c:pt idx="196">
                  <c:v>OI Adelaide Plant</c:v>
                </c:pt>
                <c:pt idx="197">
                  <c:v>OI Sydney Plant</c:v>
                </c:pt>
                <c:pt idx="198">
                  <c:v>Opal Australian Paper Maryvale Mill</c:v>
                </c:pt>
                <c:pt idx="199">
                  <c:v>Orora Glass Plant Gawler</c:v>
                </c:pt>
                <c:pt idx="200">
                  <c:v>Otway</c:v>
                </c:pt>
                <c:pt idx="201">
                  <c:v>Palmer Nickel and Cobalt Refinery</c:v>
                </c:pt>
                <c:pt idx="202">
                  <c:v>Paraburdoo Mine</c:v>
                </c:pt>
                <c:pt idx="203">
                  <c:v>Parkhurst Magnesia Manufacturing Plant</c:v>
                </c:pt>
                <c:pt idx="204">
                  <c:v>Peak Downs Mine</c:v>
                </c:pt>
                <c:pt idx="205">
                  <c:v>Peat</c:v>
                </c:pt>
                <c:pt idx="206">
                  <c:v>Phosphate Hill</c:v>
                </c:pt>
                <c:pt idx="207">
                  <c:v>Pilbara Rail Operations</c:v>
                </c:pt>
                <c:pt idx="208">
                  <c:v>Pinjarra Alumina Refinery</c:v>
                </c:pt>
                <c:pt idx="209">
                  <c:v>Pluto LNG</c:v>
                </c:pt>
                <c:pt idx="210">
                  <c:v>Point Henry Aluminium Smelter</c:v>
                </c:pt>
                <c:pt idx="211">
                  <c:v>Poitrel Mine</c:v>
                </c:pt>
                <c:pt idx="212">
                  <c:v>Port Bonython Plant</c:v>
                </c:pt>
                <c:pt idx="213">
                  <c:v>Port Kembla Steelworks</c:v>
                </c:pt>
                <c:pt idx="214">
                  <c:v>Port Latta Pelletising Plant</c:v>
                </c:pt>
                <c:pt idx="215">
                  <c:v>Portland Aluminium Smelter</c:v>
                </c:pt>
                <c:pt idx="216">
                  <c:v>Premier Coal Mine</c:v>
                </c:pt>
                <c:pt idx="217">
                  <c:v>PRL03 Rail - IOR Facility</c:v>
                </c:pt>
                <c:pt idx="218">
                  <c:v>Prominent Hill Mine</c:v>
                </c:pt>
                <c:pt idx="219">
                  <c:v>Qantas Airways Limited National Transport Facility</c:v>
                </c:pt>
                <c:pt idx="220">
                  <c:v>Qenos Altona Manufacturing</c:v>
                </c:pt>
                <c:pt idx="221">
                  <c:v>Qenos Botany Manufacturing</c:v>
                </c:pt>
                <c:pt idx="222">
                  <c:v>QGC Upstream</c:v>
                </c:pt>
                <c:pt idx="223">
                  <c:v>QGC Upstream</c:v>
                </c:pt>
                <c:pt idx="224">
                  <c:v>QLD - Ti Tree Bioreactor</c:v>
                </c:pt>
                <c:pt idx="225">
                  <c:v>QLD - Wattle Glen Landfill</c:v>
                </c:pt>
                <c:pt idx="226">
                  <c:v>Queensland</c:v>
                </c:pt>
                <c:pt idx="227">
                  <c:v>Queensland Alumina Limited Refinery</c:v>
                </c:pt>
                <c:pt idx="228">
                  <c:v>Queensland Curtis LNG Plant</c:v>
                </c:pt>
                <c:pt idx="229">
                  <c:v>Queensland Nitrates Ammonium Nitrate Plant</c:v>
                </c:pt>
                <c:pt idx="230">
                  <c:v>Railton</c:v>
                </c:pt>
                <c:pt idx="231">
                  <c:v>Ranger Mine</c:v>
                </c:pt>
                <c:pt idx="232">
                  <c:v>Ravensthorpe Nickel Operation</c:v>
                </c:pt>
                <c:pt idx="233">
                  <c:v>Ravensworth Operations</c:v>
                </c:pt>
                <c:pt idx="234">
                  <c:v>Ravensworth Underground Coal Mine</c:v>
                </c:pt>
                <c:pt idx="235">
                  <c:v>Red Hill Waste Management Facility</c:v>
                </c:pt>
                <c:pt idx="236">
                  <c:v>Reedy Creek &amp; Combabula</c:v>
                </c:pt>
                <c:pt idx="237">
                  <c:v>Refinery Qld Lytton</c:v>
                </c:pt>
                <c:pt idx="238">
                  <c:v>Rio Tinto Marine - Qld</c:v>
                </c:pt>
                <c:pt idx="239">
                  <c:v>Rio Tinto Weipa</c:v>
                </c:pt>
                <c:pt idx="240">
                  <c:v>Rio Tinto Yarwun</c:v>
                </c:pt>
                <c:pt idx="241">
                  <c:v>Rix's Creek Pty Limited</c:v>
                </c:pt>
                <c:pt idx="242">
                  <c:v>Rochedale landfill facility</c:v>
                </c:pt>
                <c:pt idx="243">
                  <c:v>Rolleston Coal Mine</c:v>
                </c:pt>
                <c:pt idx="244">
                  <c:v>Roma Hub</c:v>
                </c:pt>
                <c:pt idx="245">
                  <c:v>Roy Hill Mine</c:v>
                </c:pt>
                <c:pt idx="246">
                  <c:v>Russell Vale Colliery</c:v>
                </c:pt>
                <c:pt idx="247">
                  <c:v>SA - IWS Landfill</c:v>
                </c:pt>
                <c:pt idx="248">
                  <c:v>Saraji Mine</c:v>
                </c:pt>
                <c:pt idx="249">
                  <c:v>Savage River Mine</c:v>
                </c:pt>
                <c:pt idx="250">
                  <c:v>Sewerage East</c:v>
                </c:pt>
                <c:pt idx="251">
                  <c:v>Sewerage West</c:v>
                </c:pt>
                <c:pt idx="252">
                  <c:v>SIMEC Mining - Middleback Range Iron Ore Mine (Whyalla)</c:v>
                </c:pt>
                <c:pt idx="253">
                  <c:v>SIMEC Mining - Tahmoor Coal Mine</c:v>
                </c:pt>
                <c:pt idx="254">
                  <c:v>Sino Iron Project - Cape Preston</c:v>
                </c:pt>
                <c:pt idx="255">
                  <c:v>Sojitz Minerva Coal Mine</c:v>
                </c:pt>
                <c:pt idx="256">
                  <c:v>Solomon Mine</c:v>
                </c:pt>
                <c:pt idx="257">
                  <c:v>Sonoma Mine</c:v>
                </c:pt>
                <c:pt idx="258">
                  <c:v>South Denison</c:v>
                </c:pt>
                <c:pt idx="259">
                  <c:v>South Walker Creek</c:v>
                </c:pt>
                <c:pt idx="260">
                  <c:v>South West Queensland Pipeline</c:v>
                </c:pt>
                <c:pt idx="261">
                  <c:v>South West Synthetic Rutile Operations</c:v>
                </c:pt>
                <c:pt idx="262">
                  <c:v>Spring Gully</c:v>
                </c:pt>
                <c:pt idx="263">
                  <c:v>Start up and Operations of the Ichthys LNG Project</c:v>
                </c:pt>
                <c:pt idx="264">
                  <c:v>State Transit Bus Operations</c:v>
                </c:pt>
                <c:pt idx="265">
                  <c:v>Sunrise Dam</c:v>
                </c:pt>
                <c:pt idx="266">
                  <c:v>Swanbank Landfill</c:v>
                </c:pt>
                <c:pt idx="267">
                  <c:v>Talinga</c:v>
                </c:pt>
                <c:pt idx="268">
                  <c:v>Tarrawonga Open-Cut Mine</c:v>
                </c:pt>
                <c:pt idx="269">
                  <c:v>Telfer Gold Mine</c:v>
                </c:pt>
                <c:pt idx="270">
                  <c:v>TEM01</c:v>
                </c:pt>
                <c:pt idx="271">
                  <c:v>The Maddingley Mine Trust</c:v>
                </c:pt>
                <c:pt idx="272">
                  <c:v>Thunderbox</c:v>
                </c:pt>
                <c:pt idx="273">
                  <c:v>Tipton Operations</c:v>
                </c:pt>
                <c:pt idx="274">
                  <c:v>Toll National Transport Facility</c:v>
                </c:pt>
                <c:pt idx="275">
                  <c:v>Tom Price Mine / WTS</c:v>
                </c:pt>
                <c:pt idx="276">
                  <c:v>Tomago Aluminium Smelter</c:v>
                </c:pt>
                <c:pt idx="277">
                  <c:v>Tropicana Gold Mine</c:v>
                </c:pt>
                <c:pt idx="278">
                  <c:v>TT-Line - Victorian Operation</c:v>
                </c:pt>
                <c:pt idx="279">
                  <c:v>Ulan Coal Mine</c:v>
                </c:pt>
                <c:pt idx="280">
                  <c:v>United Coal Mine</c:v>
                </c:pt>
                <c:pt idx="281">
                  <c:v>V/Line</c:v>
                </c:pt>
                <c:pt idx="282">
                  <c:v>Varanus Hub</c:v>
                </c:pt>
                <c:pt idx="283">
                  <c:v>Victoria</c:v>
                </c:pt>
                <c:pt idx="284">
                  <c:v>Victory Road Landfill</c:v>
                </c:pt>
                <c:pt idx="285">
                  <c:v>Vincent Project Venture</c:v>
                </c:pt>
                <c:pt idx="286">
                  <c:v>Virgin Australia Holdings National Transport Facility</c:v>
                </c:pt>
                <c:pt idx="287">
                  <c:v>Visy Paper 8 - Gibson Island</c:v>
                </c:pt>
                <c:pt idx="288">
                  <c:v>WA Oil - Barrow Island</c:v>
                </c:pt>
                <c:pt idx="289">
                  <c:v>Wagerup Alumina Refinery</c:v>
                </c:pt>
                <c:pt idx="290">
                  <c:v>Wambo Coal Mine</c:v>
                </c:pt>
                <c:pt idx="291">
                  <c:v>Warkworth Mine</c:v>
                </c:pt>
                <c:pt idx="292">
                  <c:v>Werris Creek Open-Cut Mine</c:v>
                </c:pt>
                <c:pt idx="293">
                  <c:v>West Angelas Mine</c:v>
                </c:pt>
                <c:pt idx="294">
                  <c:v>West Wallsend Coal Mine</c:v>
                </c:pt>
                <c:pt idx="295">
                  <c:v>Western Australia</c:v>
                </c:pt>
                <c:pt idx="296">
                  <c:v>Western Port Works</c:v>
                </c:pt>
                <c:pt idx="297">
                  <c:v>Wheatstone Operations</c:v>
                </c:pt>
                <c:pt idx="298">
                  <c:v>Wheatstone Project LNG Plant and Associated Facilities</c:v>
                </c:pt>
                <c:pt idx="299">
                  <c:v>Wilkie Creek Coal Mine</c:v>
                </c:pt>
                <c:pt idx="300">
                  <c:v>Wilpinjong Coal Mine</c:v>
                </c:pt>
                <c:pt idx="301">
                  <c:v>Wongawilli mine</c:v>
                </c:pt>
                <c:pt idx="302">
                  <c:v>Woodlawn Bioreactor</c:v>
                </c:pt>
                <c:pt idx="303">
                  <c:v>WOR01 Worsley Alumina Refinery/Mine</c:v>
                </c:pt>
                <c:pt idx="304">
                  <c:v>YAN01 Yandi/Marillana Creek Mine - MNG Facility</c:v>
                </c:pt>
                <c:pt idx="305">
                  <c:v>Yandicoogina Mine</c:v>
                </c:pt>
                <c:pt idx="306">
                  <c:v>Yarrabee Coal Mine (Open Cut)</c:v>
                </c:pt>
                <c:pt idx="307">
                  <c:v>Yarwun Nitrates</c:v>
                </c:pt>
                <c:pt idx="308">
                  <c:v>YPF Ammonia Plant</c:v>
                </c:pt>
              </c:strCache>
            </c:strRef>
          </c:cat>
          <c:val>
            <c:numRef>
              <c:f>'Figure 6 Headroom by facility'!$C$3:$C$311</c:f>
              <c:numCache>
                <c:formatCode>#,##0</c:formatCode>
                <c:ptCount val="309"/>
                <c:pt idx="0">
                  <c:v>100477</c:v>
                </c:pt>
                <c:pt idx="1">
                  <c:v>148286</c:v>
                </c:pt>
                <c:pt idx="2">
                  <c:v>141051</c:v>
                </c:pt>
                <c:pt idx="3">
                  <c:v>124497</c:v>
                </c:pt>
                <c:pt idx="4">
                  <c:v>582775</c:v>
                </c:pt>
                <c:pt idx="5">
                  <c:v>2044548</c:v>
                </c:pt>
                <c:pt idx="6">
                  <c:v>281227</c:v>
                </c:pt>
                <c:pt idx="7">
                  <c:v>28725</c:v>
                </c:pt>
                <c:pt idx="8">
                  <c:v>0</c:v>
                </c:pt>
                <c:pt idx="9">
                  <c:v>242087</c:v>
                </c:pt>
                <c:pt idx="10">
                  <c:v>-592</c:v>
                </c:pt>
                <c:pt idx="11">
                  <c:v>14638</c:v>
                </c:pt>
                <c:pt idx="12">
                  <c:v>253333</c:v>
                </c:pt>
                <c:pt idx="13">
                  <c:v>55886</c:v>
                </c:pt>
                <c:pt idx="14">
                  <c:v>169898</c:v>
                </c:pt>
                <c:pt idx="15">
                  <c:v>64789</c:v>
                </c:pt>
                <c:pt idx="16">
                  <c:v>92742</c:v>
                </c:pt>
                <c:pt idx="17">
                  <c:v>59405</c:v>
                </c:pt>
                <c:pt idx="18">
                  <c:v>0</c:v>
                </c:pt>
                <c:pt idx="19">
                  <c:v>273878</c:v>
                </c:pt>
                <c:pt idx="20">
                  <c:v>0</c:v>
                </c:pt>
                <c:pt idx="21">
                  <c:v>130007</c:v>
                </c:pt>
                <c:pt idx="22">
                  <c:v>115681</c:v>
                </c:pt>
                <c:pt idx="23">
                  <c:v>9623</c:v>
                </c:pt>
                <c:pt idx="24">
                  <c:v>1811872</c:v>
                </c:pt>
                <c:pt idx="25">
                  <c:v>17781</c:v>
                </c:pt>
                <c:pt idx="26">
                  <c:v>28873</c:v>
                </c:pt>
                <c:pt idx="27">
                  <c:v>110071</c:v>
                </c:pt>
                <c:pt idx="28">
                  <c:v>176146</c:v>
                </c:pt>
                <c:pt idx="29">
                  <c:v>229743</c:v>
                </c:pt>
                <c:pt idx="30">
                  <c:v>8967</c:v>
                </c:pt>
                <c:pt idx="31">
                  <c:v>119907</c:v>
                </c:pt>
                <c:pt idx="32">
                  <c:v>61056</c:v>
                </c:pt>
                <c:pt idx="33">
                  <c:v>11972</c:v>
                </c:pt>
                <c:pt idx="34">
                  <c:v>0</c:v>
                </c:pt>
                <c:pt idx="35">
                  <c:v>136296</c:v>
                </c:pt>
                <c:pt idx="36">
                  <c:v>226806</c:v>
                </c:pt>
                <c:pt idx="37">
                  <c:v>249597</c:v>
                </c:pt>
                <c:pt idx="38">
                  <c:v>112476</c:v>
                </c:pt>
                <c:pt idx="39">
                  <c:v>143326</c:v>
                </c:pt>
                <c:pt idx="40">
                  <c:v>-169010</c:v>
                </c:pt>
                <c:pt idx="41">
                  <c:v>109955</c:v>
                </c:pt>
                <c:pt idx="42">
                  <c:v>584862</c:v>
                </c:pt>
                <c:pt idx="43">
                  <c:v>0</c:v>
                </c:pt>
                <c:pt idx="44">
                  <c:v>0</c:v>
                </c:pt>
                <c:pt idx="45">
                  <c:v>0</c:v>
                </c:pt>
                <c:pt idx="46">
                  <c:v>36420</c:v>
                </c:pt>
                <c:pt idx="47">
                  <c:v>100000</c:v>
                </c:pt>
                <c:pt idx="48">
                  <c:v>22912</c:v>
                </c:pt>
                <c:pt idx="49">
                  <c:v>100000</c:v>
                </c:pt>
                <c:pt idx="50">
                  <c:v>100000</c:v>
                </c:pt>
                <c:pt idx="51">
                  <c:v>340716</c:v>
                </c:pt>
                <c:pt idx="52">
                  <c:v>132287</c:v>
                </c:pt>
                <c:pt idx="53">
                  <c:v>102296</c:v>
                </c:pt>
                <c:pt idx="54">
                  <c:v>123354</c:v>
                </c:pt>
                <c:pt idx="55">
                  <c:v>66351</c:v>
                </c:pt>
                <c:pt idx="56">
                  <c:v>123775</c:v>
                </c:pt>
                <c:pt idx="57">
                  <c:v>100000</c:v>
                </c:pt>
                <c:pt idx="58">
                  <c:v>819472</c:v>
                </c:pt>
                <c:pt idx="59">
                  <c:v>29847</c:v>
                </c:pt>
                <c:pt idx="60">
                  <c:v>278185</c:v>
                </c:pt>
                <c:pt idx="61">
                  <c:v>49936</c:v>
                </c:pt>
                <c:pt idx="62">
                  <c:v>70673</c:v>
                </c:pt>
                <c:pt idx="63">
                  <c:v>718056</c:v>
                </c:pt>
                <c:pt idx="64">
                  <c:v>-94561</c:v>
                </c:pt>
                <c:pt idx="65">
                  <c:v>115372</c:v>
                </c:pt>
                <c:pt idx="66">
                  <c:v>15335</c:v>
                </c:pt>
                <c:pt idx="67">
                  <c:v>128005</c:v>
                </c:pt>
                <c:pt idx="68">
                  <c:v>119137</c:v>
                </c:pt>
                <c:pt idx="69">
                  <c:v>173149</c:v>
                </c:pt>
                <c:pt idx="70">
                  <c:v>24024</c:v>
                </c:pt>
                <c:pt idx="71">
                  <c:v>187823</c:v>
                </c:pt>
                <c:pt idx="72">
                  <c:v>109704</c:v>
                </c:pt>
                <c:pt idx="73">
                  <c:v>270812</c:v>
                </c:pt>
                <c:pt idx="74">
                  <c:v>101225</c:v>
                </c:pt>
                <c:pt idx="75">
                  <c:v>2701</c:v>
                </c:pt>
                <c:pt idx="76">
                  <c:v>373969</c:v>
                </c:pt>
                <c:pt idx="77">
                  <c:v>0</c:v>
                </c:pt>
                <c:pt idx="78">
                  <c:v>170557</c:v>
                </c:pt>
                <c:pt idx="79">
                  <c:v>151530</c:v>
                </c:pt>
                <c:pt idx="80">
                  <c:v>28279</c:v>
                </c:pt>
                <c:pt idx="81">
                  <c:v>9799</c:v>
                </c:pt>
                <c:pt idx="82">
                  <c:v>0</c:v>
                </c:pt>
                <c:pt idx="83">
                  <c:v>157424</c:v>
                </c:pt>
                <c:pt idx="84">
                  <c:v>109292</c:v>
                </c:pt>
                <c:pt idx="85">
                  <c:v>148286</c:v>
                </c:pt>
                <c:pt idx="86">
                  <c:v>106831</c:v>
                </c:pt>
                <c:pt idx="87">
                  <c:v>100000</c:v>
                </c:pt>
                <c:pt idx="88">
                  <c:v>328946</c:v>
                </c:pt>
                <c:pt idx="89">
                  <c:v>0</c:v>
                </c:pt>
                <c:pt idx="90">
                  <c:v>99558</c:v>
                </c:pt>
                <c:pt idx="91">
                  <c:v>166612</c:v>
                </c:pt>
                <c:pt idx="92">
                  <c:v>45028</c:v>
                </c:pt>
                <c:pt idx="93">
                  <c:v>252948</c:v>
                </c:pt>
                <c:pt idx="94">
                  <c:v>2725687</c:v>
                </c:pt>
                <c:pt idx="95">
                  <c:v>105</c:v>
                </c:pt>
                <c:pt idx="96">
                  <c:v>-1221</c:v>
                </c:pt>
                <c:pt idx="97">
                  <c:v>110092</c:v>
                </c:pt>
                <c:pt idx="98">
                  <c:v>4538</c:v>
                </c:pt>
                <c:pt idx="99">
                  <c:v>56258</c:v>
                </c:pt>
                <c:pt idx="100">
                  <c:v>128998</c:v>
                </c:pt>
                <c:pt idx="101">
                  <c:v>95770</c:v>
                </c:pt>
                <c:pt idx="102">
                  <c:v>448015</c:v>
                </c:pt>
                <c:pt idx="103">
                  <c:v>0</c:v>
                </c:pt>
                <c:pt idx="104">
                  <c:v>796381</c:v>
                </c:pt>
                <c:pt idx="105">
                  <c:v>261572</c:v>
                </c:pt>
                <c:pt idx="106">
                  <c:v>-683658</c:v>
                </c:pt>
                <c:pt idx="107">
                  <c:v>118345</c:v>
                </c:pt>
                <c:pt idx="108">
                  <c:v>21951</c:v>
                </c:pt>
                <c:pt idx="109">
                  <c:v>117516</c:v>
                </c:pt>
                <c:pt idx="110">
                  <c:v>146180</c:v>
                </c:pt>
                <c:pt idx="111">
                  <c:v>96324</c:v>
                </c:pt>
                <c:pt idx="112">
                  <c:v>0</c:v>
                </c:pt>
                <c:pt idx="113">
                  <c:v>37831</c:v>
                </c:pt>
                <c:pt idx="114">
                  <c:v>125896</c:v>
                </c:pt>
                <c:pt idx="115">
                  <c:v>4269</c:v>
                </c:pt>
                <c:pt idx="116">
                  <c:v>0</c:v>
                </c:pt>
                <c:pt idx="117">
                  <c:v>546115</c:v>
                </c:pt>
                <c:pt idx="118">
                  <c:v>0</c:v>
                </c:pt>
                <c:pt idx="119">
                  <c:v>1012689</c:v>
                </c:pt>
                <c:pt idx="120">
                  <c:v>447122</c:v>
                </c:pt>
                <c:pt idx="121">
                  <c:v>143095</c:v>
                </c:pt>
                <c:pt idx="122">
                  <c:v>-18037</c:v>
                </c:pt>
                <c:pt idx="123">
                  <c:v>184205</c:v>
                </c:pt>
                <c:pt idx="124">
                  <c:v>-14740</c:v>
                </c:pt>
                <c:pt idx="125">
                  <c:v>22683</c:v>
                </c:pt>
                <c:pt idx="126">
                  <c:v>927</c:v>
                </c:pt>
                <c:pt idx="127">
                  <c:v>241862</c:v>
                </c:pt>
                <c:pt idx="128">
                  <c:v>155569</c:v>
                </c:pt>
                <c:pt idx="129">
                  <c:v>-78362</c:v>
                </c:pt>
                <c:pt idx="130">
                  <c:v>58273</c:v>
                </c:pt>
                <c:pt idx="131">
                  <c:v>12734</c:v>
                </c:pt>
                <c:pt idx="132">
                  <c:v>11713</c:v>
                </c:pt>
                <c:pt idx="133">
                  <c:v>92470</c:v>
                </c:pt>
                <c:pt idx="134">
                  <c:v>31921</c:v>
                </c:pt>
                <c:pt idx="135">
                  <c:v>134238</c:v>
                </c:pt>
                <c:pt idx="136">
                  <c:v>0</c:v>
                </c:pt>
                <c:pt idx="137">
                  <c:v>-110712</c:v>
                </c:pt>
                <c:pt idx="138">
                  <c:v>78596</c:v>
                </c:pt>
                <c:pt idx="139">
                  <c:v>100</c:v>
                </c:pt>
                <c:pt idx="140">
                  <c:v>285099</c:v>
                </c:pt>
                <c:pt idx="141">
                  <c:v>-2843</c:v>
                </c:pt>
                <c:pt idx="142">
                  <c:v>147307</c:v>
                </c:pt>
                <c:pt idx="143">
                  <c:v>274856</c:v>
                </c:pt>
                <c:pt idx="144">
                  <c:v>210243</c:v>
                </c:pt>
                <c:pt idx="145">
                  <c:v>30007</c:v>
                </c:pt>
                <c:pt idx="146">
                  <c:v>102832</c:v>
                </c:pt>
                <c:pt idx="147">
                  <c:v>0</c:v>
                </c:pt>
                <c:pt idx="148">
                  <c:v>187033</c:v>
                </c:pt>
                <c:pt idx="149">
                  <c:v>0</c:v>
                </c:pt>
                <c:pt idx="150">
                  <c:v>237953</c:v>
                </c:pt>
                <c:pt idx="151">
                  <c:v>13601</c:v>
                </c:pt>
                <c:pt idx="152">
                  <c:v>35524</c:v>
                </c:pt>
                <c:pt idx="153">
                  <c:v>7737</c:v>
                </c:pt>
                <c:pt idx="154">
                  <c:v>75754</c:v>
                </c:pt>
                <c:pt idx="155">
                  <c:v>65449</c:v>
                </c:pt>
                <c:pt idx="156">
                  <c:v>316952</c:v>
                </c:pt>
                <c:pt idx="157">
                  <c:v>283291</c:v>
                </c:pt>
                <c:pt idx="158">
                  <c:v>105869</c:v>
                </c:pt>
                <c:pt idx="159">
                  <c:v>-6703</c:v>
                </c:pt>
                <c:pt idx="160">
                  <c:v>-40724</c:v>
                </c:pt>
                <c:pt idx="161">
                  <c:v>-93513</c:v>
                </c:pt>
                <c:pt idx="162">
                  <c:v>311710</c:v>
                </c:pt>
                <c:pt idx="163">
                  <c:v>0</c:v>
                </c:pt>
                <c:pt idx="164">
                  <c:v>127949</c:v>
                </c:pt>
                <c:pt idx="165">
                  <c:v>383459</c:v>
                </c:pt>
                <c:pt idx="166">
                  <c:v>0</c:v>
                </c:pt>
                <c:pt idx="167">
                  <c:v>122407</c:v>
                </c:pt>
                <c:pt idx="168">
                  <c:v>55120</c:v>
                </c:pt>
                <c:pt idx="169">
                  <c:v>0</c:v>
                </c:pt>
                <c:pt idx="170">
                  <c:v>100000</c:v>
                </c:pt>
                <c:pt idx="171">
                  <c:v>163553</c:v>
                </c:pt>
                <c:pt idx="172">
                  <c:v>286093</c:v>
                </c:pt>
                <c:pt idx="173">
                  <c:v>156813</c:v>
                </c:pt>
                <c:pt idx="174">
                  <c:v>227315</c:v>
                </c:pt>
                <c:pt idx="175">
                  <c:v>697431</c:v>
                </c:pt>
                <c:pt idx="176">
                  <c:v>36860</c:v>
                </c:pt>
                <c:pt idx="177">
                  <c:v>208038</c:v>
                </c:pt>
                <c:pt idx="178">
                  <c:v>235957</c:v>
                </c:pt>
                <c:pt idx="179">
                  <c:v>129383</c:v>
                </c:pt>
                <c:pt idx="180">
                  <c:v>0</c:v>
                </c:pt>
                <c:pt idx="181">
                  <c:v>329681</c:v>
                </c:pt>
                <c:pt idx="182">
                  <c:v>3159</c:v>
                </c:pt>
                <c:pt idx="183">
                  <c:v>19639</c:v>
                </c:pt>
                <c:pt idx="184">
                  <c:v>152368</c:v>
                </c:pt>
                <c:pt idx="185">
                  <c:v>19100</c:v>
                </c:pt>
                <c:pt idx="186">
                  <c:v>58692</c:v>
                </c:pt>
                <c:pt idx="187">
                  <c:v>-74522</c:v>
                </c:pt>
                <c:pt idx="188">
                  <c:v>42002</c:v>
                </c:pt>
                <c:pt idx="189">
                  <c:v>100000</c:v>
                </c:pt>
                <c:pt idx="190">
                  <c:v>64461</c:v>
                </c:pt>
                <c:pt idx="191">
                  <c:v>-1268</c:v>
                </c:pt>
                <c:pt idx="192">
                  <c:v>0</c:v>
                </c:pt>
                <c:pt idx="193">
                  <c:v>149986</c:v>
                </c:pt>
                <c:pt idx="194">
                  <c:v>1187627</c:v>
                </c:pt>
                <c:pt idx="195">
                  <c:v>4327</c:v>
                </c:pt>
                <c:pt idx="196">
                  <c:v>165594</c:v>
                </c:pt>
                <c:pt idx="197">
                  <c:v>161610</c:v>
                </c:pt>
                <c:pt idx="198">
                  <c:v>406527</c:v>
                </c:pt>
                <c:pt idx="199">
                  <c:v>2871</c:v>
                </c:pt>
                <c:pt idx="200">
                  <c:v>74437</c:v>
                </c:pt>
                <c:pt idx="201">
                  <c:v>1481828</c:v>
                </c:pt>
                <c:pt idx="202">
                  <c:v>19343</c:v>
                </c:pt>
                <c:pt idx="203">
                  <c:v>132483</c:v>
                </c:pt>
                <c:pt idx="204">
                  <c:v>126167</c:v>
                </c:pt>
                <c:pt idx="205">
                  <c:v>133960</c:v>
                </c:pt>
                <c:pt idx="206">
                  <c:v>91594</c:v>
                </c:pt>
                <c:pt idx="207">
                  <c:v>21330</c:v>
                </c:pt>
                <c:pt idx="208">
                  <c:v>60605</c:v>
                </c:pt>
                <c:pt idx="209">
                  <c:v>454398</c:v>
                </c:pt>
                <c:pt idx="210">
                  <c:v>100000</c:v>
                </c:pt>
                <c:pt idx="211">
                  <c:v>4771</c:v>
                </c:pt>
                <c:pt idx="212">
                  <c:v>24040</c:v>
                </c:pt>
                <c:pt idx="213">
                  <c:v>4769260</c:v>
                </c:pt>
                <c:pt idx="214">
                  <c:v>-5272</c:v>
                </c:pt>
                <c:pt idx="215">
                  <c:v>-7874</c:v>
                </c:pt>
                <c:pt idx="216">
                  <c:v>132363</c:v>
                </c:pt>
                <c:pt idx="217">
                  <c:v>22144</c:v>
                </c:pt>
                <c:pt idx="218">
                  <c:v>228843</c:v>
                </c:pt>
                <c:pt idx="219">
                  <c:v>383315</c:v>
                </c:pt>
                <c:pt idx="220">
                  <c:v>3729</c:v>
                </c:pt>
                <c:pt idx="221">
                  <c:v>1307</c:v>
                </c:pt>
                <c:pt idx="222">
                  <c:v>395915</c:v>
                </c:pt>
                <c:pt idx="223">
                  <c:v>395915</c:v>
                </c:pt>
                <c:pt idx="224">
                  <c:v>192809</c:v>
                </c:pt>
                <c:pt idx="225">
                  <c:v>149010</c:v>
                </c:pt>
                <c:pt idx="226">
                  <c:v>0</c:v>
                </c:pt>
                <c:pt idx="227">
                  <c:v>1809</c:v>
                </c:pt>
                <c:pt idx="228">
                  <c:v>666772</c:v>
                </c:pt>
                <c:pt idx="229">
                  <c:v>537592</c:v>
                </c:pt>
                <c:pt idx="230">
                  <c:v>136839</c:v>
                </c:pt>
                <c:pt idx="231">
                  <c:v>5897</c:v>
                </c:pt>
                <c:pt idx="232">
                  <c:v>133096</c:v>
                </c:pt>
                <c:pt idx="233">
                  <c:v>57410</c:v>
                </c:pt>
                <c:pt idx="234">
                  <c:v>710752</c:v>
                </c:pt>
                <c:pt idx="235">
                  <c:v>116767</c:v>
                </c:pt>
                <c:pt idx="236">
                  <c:v>86546</c:v>
                </c:pt>
                <c:pt idx="237">
                  <c:v>485</c:v>
                </c:pt>
                <c:pt idx="238">
                  <c:v>97715</c:v>
                </c:pt>
                <c:pt idx="239">
                  <c:v>-25264</c:v>
                </c:pt>
                <c:pt idx="240">
                  <c:v>127236</c:v>
                </c:pt>
                <c:pt idx="241">
                  <c:v>376348</c:v>
                </c:pt>
                <c:pt idx="242">
                  <c:v>186742</c:v>
                </c:pt>
                <c:pt idx="243">
                  <c:v>105055</c:v>
                </c:pt>
                <c:pt idx="244">
                  <c:v>149158</c:v>
                </c:pt>
                <c:pt idx="245">
                  <c:v>-5338</c:v>
                </c:pt>
                <c:pt idx="246">
                  <c:v>655650</c:v>
                </c:pt>
                <c:pt idx="247">
                  <c:v>105065</c:v>
                </c:pt>
                <c:pt idx="248">
                  <c:v>144341</c:v>
                </c:pt>
                <c:pt idx="249">
                  <c:v>0</c:v>
                </c:pt>
                <c:pt idx="250">
                  <c:v>-3304</c:v>
                </c:pt>
                <c:pt idx="251">
                  <c:v>39471</c:v>
                </c:pt>
                <c:pt idx="252">
                  <c:v>121547</c:v>
                </c:pt>
                <c:pt idx="253">
                  <c:v>147294</c:v>
                </c:pt>
                <c:pt idx="254">
                  <c:v>113234</c:v>
                </c:pt>
                <c:pt idx="255">
                  <c:v>128041</c:v>
                </c:pt>
                <c:pt idx="256">
                  <c:v>43030</c:v>
                </c:pt>
                <c:pt idx="257">
                  <c:v>215840</c:v>
                </c:pt>
                <c:pt idx="258">
                  <c:v>146128</c:v>
                </c:pt>
                <c:pt idx="259">
                  <c:v>-42421</c:v>
                </c:pt>
                <c:pt idx="260">
                  <c:v>159320</c:v>
                </c:pt>
                <c:pt idx="261">
                  <c:v>70814</c:v>
                </c:pt>
                <c:pt idx="262">
                  <c:v>12542</c:v>
                </c:pt>
                <c:pt idx="263">
                  <c:v>6569849</c:v>
                </c:pt>
                <c:pt idx="264">
                  <c:v>18702</c:v>
                </c:pt>
                <c:pt idx="265">
                  <c:v>20530</c:v>
                </c:pt>
                <c:pt idx="266">
                  <c:v>201349</c:v>
                </c:pt>
                <c:pt idx="267">
                  <c:v>7603</c:v>
                </c:pt>
                <c:pt idx="268">
                  <c:v>125025</c:v>
                </c:pt>
                <c:pt idx="269">
                  <c:v>96950</c:v>
                </c:pt>
                <c:pt idx="270">
                  <c:v>19534</c:v>
                </c:pt>
                <c:pt idx="271">
                  <c:v>146390</c:v>
                </c:pt>
                <c:pt idx="272">
                  <c:v>0</c:v>
                </c:pt>
                <c:pt idx="273">
                  <c:v>143038</c:v>
                </c:pt>
                <c:pt idx="274">
                  <c:v>106545</c:v>
                </c:pt>
                <c:pt idx="275">
                  <c:v>44801</c:v>
                </c:pt>
                <c:pt idx="276">
                  <c:v>13567</c:v>
                </c:pt>
                <c:pt idx="277">
                  <c:v>29914</c:v>
                </c:pt>
                <c:pt idx="278">
                  <c:v>-10416</c:v>
                </c:pt>
                <c:pt idx="279">
                  <c:v>123668</c:v>
                </c:pt>
                <c:pt idx="280">
                  <c:v>570247</c:v>
                </c:pt>
                <c:pt idx="281">
                  <c:v>7065</c:v>
                </c:pt>
                <c:pt idx="282">
                  <c:v>331552</c:v>
                </c:pt>
                <c:pt idx="283">
                  <c:v>0</c:v>
                </c:pt>
                <c:pt idx="284">
                  <c:v>100981</c:v>
                </c:pt>
                <c:pt idx="285">
                  <c:v>406132</c:v>
                </c:pt>
                <c:pt idx="286">
                  <c:v>125959</c:v>
                </c:pt>
                <c:pt idx="287">
                  <c:v>107134</c:v>
                </c:pt>
                <c:pt idx="288">
                  <c:v>152278</c:v>
                </c:pt>
                <c:pt idx="289">
                  <c:v>33403</c:v>
                </c:pt>
                <c:pt idx="290">
                  <c:v>231298</c:v>
                </c:pt>
                <c:pt idx="291">
                  <c:v>229194</c:v>
                </c:pt>
                <c:pt idx="292">
                  <c:v>130642</c:v>
                </c:pt>
                <c:pt idx="293">
                  <c:v>23163</c:v>
                </c:pt>
                <c:pt idx="294">
                  <c:v>314828</c:v>
                </c:pt>
                <c:pt idx="295">
                  <c:v>0</c:v>
                </c:pt>
                <c:pt idx="296">
                  <c:v>4017</c:v>
                </c:pt>
                <c:pt idx="297">
                  <c:v>1168728</c:v>
                </c:pt>
                <c:pt idx="298">
                  <c:v>-55131</c:v>
                </c:pt>
                <c:pt idx="299">
                  <c:v>122356</c:v>
                </c:pt>
                <c:pt idx="300">
                  <c:v>668602</c:v>
                </c:pt>
                <c:pt idx="301">
                  <c:v>294217</c:v>
                </c:pt>
                <c:pt idx="302">
                  <c:v>142756</c:v>
                </c:pt>
                <c:pt idx="303">
                  <c:v>141410</c:v>
                </c:pt>
                <c:pt idx="304">
                  <c:v>15811</c:v>
                </c:pt>
                <c:pt idx="305">
                  <c:v>-10101</c:v>
                </c:pt>
                <c:pt idx="306">
                  <c:v>23106</c:v>
                </c:pt>
                <c:pt idx="307">
                  <c:v>677206</c:v>
                </c:pt>
                <c:pt idx="308">
                  <c:v>111281</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1-9C9B-4B36-A7ED-61C126162CCB}"/>
            </c:ext>
          </c:extLst>
        </c:ser>
        <c:ser>
          <c:idx val="2"/>
          <c:order val="2"/>
          <c:tx>
            <c:v>2018-19</c:v>
          </c:tx>
          <c:spPr>
            <a:solidFill>
              <a:srgbClr val="37AD68"/>
            </a:solidFill>
            <a:ln cmpd="sng">
              <a:solidFill>
                <a:srgbClr val="000000"/>
              </a:solidFill>
            </a:ln>
          </c:spPr>
          <c:invertIfNegative val="1"/>
          <c:cat>
            <c:strRef>
              <c:f>'Figure 6 Headroom by facility'!$A$3:$A$311</c:f>
              <c:strCache>
                <c:ptCount val="309"/>
                <c:pt idx="0">
                  <c:v>1. Solid Waste Services - MRL</c:v>
                </c:pt>
                <c:pt idx="1">
                  <c:v>Abel Underground Coal Mine</c:v>
                </c:pt>
                <c:pt idx="2">
                  <c:v>AER Rail Freight QLD</c:v>
                </c:pt>
                <c:pt idx="3">
                  <c:v>Angaston Operations</c:v>
                </c:pt>
                <c:pt idx="4">
                  <c:v>APLNG Facility</c:v>
                </c:pt>
                <c:pt idx="5">
                  <c:v>APN01 Appin Colliery - ICH Facility</c:v>
                </c:pt>
                <c:pt idx="6">
                  <c:v>APU01 Pyrenees - AOA Facility</c:v>
                </c:pt>
                <c:pt idx="7">
                  <c:v>ARC01 Mining Area C - MNG Facility</c:v>
                </c:pt>
                <c:pt idx="8">
                  <c:v>Arcadia</c:v>
                </c:pt>
                <c:pt idx="9">
                  <c:v>Ashton Coal Mine (Underground)</c:v>
                </c:pt>
                <c:pt idx="10">
                  <c:v>ATCO Gas Australia Pty Ltd</c:v>
                </c:pt>
                <c:pt idx="11">
                  <c:v>Aurizon Rail Freight NSW</c:v>
                </c:pt>
                <c:pt idx="12">
                  <c:v>Aurizon Rail Freight QLD</c:v>
                </c:pt>
                <c:pt idx="13">
                  <c:v>Aurizon Rail Freight WA</c:v>
                </c:pt>
                <c:pt idx="14">
                  <c:v>AusNet Gas Services Pty Ltd</c:v>
                </c:pt>
                <c:pt idx="15">
                  <c:v>Austar Coal Mine (Underground)</c:v>
                </c:pt>
                <c:pt idx="16">
                  <c:v>Australian Gas Networks (SA) Ltd</c:v>
                </c:pt>
                <c:pt idx="17">
                  <c:v>Australian Gas Networks (Vic) Pty Ltd</c:v>
                </c:pt>
                <c:pt idx="18">
                  <c:v>AWR Rail Freight WA</c:v>
                </c:pt>
                <c:pt idx="19">
                  <c:v>Ballera</c:v>
                </c:pt>
                <c:pt idx="20">
                  <c:v>Baralaba Coal Mine</c:v>
                </c:pt>
                <c:pt idx="21">
                  <c:v>Basker Manta Gummy</c:v>
                </c:pt>
                <c:pt idx="22">
                  <c:v>Batchfire Resources No.1</c:v>
                </c:pt>
                <c:pt idx="23">
                  <c:v>Bell Bay Smelter</c:v>
                </c:pt>
                <c:pt idx="24">
                  <c:v>Beltana / Blakefield South</c:v>
                </c:pt>
                <c:pt idx="25">
                  <c:v>Bengalla Operations</c:v>
                </c:pt>
                <c:pt idx="26">
                  <c:v>Big Lake Gas</c:v>
                </c:pt>
                <c:pt idx="27">
                  <c:v>Birkenhead Operations</c:v>
                </c:pt>
                <c:pt idx="28">
                  <c:v>Blackwater Mine</c:v>
                </c:pt>
                <c:pt idx="29">
                  <c:v>Blair Athol Mine</c:v>
                </c:pt>
                <c:pt idx="30">
                  <c:v>Boggabri Coal Minesite</c:v>
                </c:pt>
                <c:pt idx="31">
                  <c:v>Boyne Smelters Limited</c:v>
                </c:pt>
                <c:pt idx="32">
                  <c:v>Brockman 2 / Nammuldi Mines</c:v>
                </c:pt>
                <c:pt idx="33">
                  <c:v>Brockman 4 Mine</c:v>
                </c:pt>
                <c:pt idx="34">
                  <c:v>Bulga Coal Complex</c:v>
                </c:pt>
                <c:pt idx="35">
                  <c:v>Bulga Opencut</c:v>
                </c:pt>
                <c:pt idx="36">
                  <c:v>Burton Mine</c:v>
                </c:pt>
                <c:pt idx="37">
                  <c:v>Byerwen Mine</c:v>
                </c:pt>
                <c:pt idx="38">
                  <c:v>Cadia Valley Operations</c:v>
                </c:pt>
                <c:pt idx="39">
                  <c:v>CAN01</c:v>
                </c:pt>
                <c:pt idx="40">
                  <c:v>Capcoal Mine</c:v>
                </c:pt>
                <c:pt idx="41">
                  <c:v>Cape Lambert Port Operations</c:v>
                </c:pt>
                <c:pt idx="42">
                  <c:v>Carborough Downs coal mine</c:v>
                </c:pt>
                <c:pt idx="43">
                  <c:v>Carmichael Coal Mine</c:v>
                </c:pt>
                <c:pt idx="44">
                  <c:v>Carosue Dam</c:v>
                </c:pt>
                <c:pt idx="45">
                  <c:v>Caval Ridge Mine</c:v>
                </c:pt>
                <c:pt idx="46">
                  <c:v>CEM NSW Berrima</c:v>
                </c:pt>
                <c:pt idx="47">
                  <c:v>CEM NSW Maldon</c:v>
                </c:pt>
                <c:pt idx="48">
                  <c:v>CEM NSW Marulan</c:v>
                </c:pt>
                <c:pt idx="49">
                  <c:v>CEM VIC Waurn Ponds</c:v>
                </c:pt>
                <c:pt idx="50">
                  <c:v>Central Mine</c:v>
                </c:pt>
                <c:pt idx="51">
                  <c:v>Chain Valley Colliery</c:v>
                </c:pt>
                <c:pt idx="52">
                  <c:v>Chandala Processing Plant</c:v>
                </c:pt>
                <c:pt idx="53">
                  <c:v>Charbon Lime Manufacturing Plant</c:v>
                </c:pt>
                <c:pt idx="54">
                  <c:v>Christmas Creek Mine</c:v>
                </c:pt>
                <c:pt idx="55">
                  <c:v>Clermont Coal Operations</c:v>
                </c:pt>
                <c:pt idx="56">
                  <c:v>Cloudbreak Mine</c:v>
                </c:pt>
                <c:pt idx="57">
                  <c:v>Clyde Terminal</c:v>
                </c:pt>
                <c:pt idx="58">
                  <c:v>Cockburn Operations</c:v>
                </c:pt>
                <c:pt idx="59">
                  <c:v>Collinsville Mine</c:v>
                </c:pt>
                <c:pt idx="60">
                  <c:v>Condabri</c:v>
                </c:pt>
                <c:pt idx="61">
                  <c:v>Cook Colliery</c:v>
                </c:pt>
                <c:pt idx="62">
                  <c:v>Coppabella Coal Mine</c:v>
                </c:pt>
                <c:pt idx="63">
                  <c:v>CSBP Kwinana Facility</c:v>
                </c:pt>
                <c:pt idx="64">
                  <c:v>Curragh Mine</c:v>
                </c:pt>
                <c:pt idx="65">
                  <c:v>Curtis Island GLNG Plant</c:v>
                </c:pt>
                <c:pt idx="66">
                  <c:v>Daandine Operations</c:v>
                </c:pt>
                <c:pt idx="67">
                  <c:v>Dandenong</c:v>
                </c:pt>
                <c:pt idx="68">
                  <c:v>Dartbrook Coal Mine</c:v>
                </c:pt>
                <c:pt idx="69">
                  <c:v>Darwin LNG Plant</c:v>
                </c:pt>
                <c:pt idx="70">
                  <c:v>Daunia Mine</c:v>
                </c:pt>
                <c:pt idx="71">
                  <c:v>Dawson Mine</c:v>
                </c:pt>
                <c:pt idx="72">
                  <c:v>DBNGP</c:v>
                </c:pt>
                <c:pt idx="73">
                  <c:v>DEN01</c:v>
                </c:pt>
                <c:pt idx="74">
                  <c:v>Dongara Operations</c:v>
                </c:pt>
                <c:pt idx="75">
                  <c:v>Drake Mine</c:v>
                </c:pt>
                <c:pt idx="76">
                  <c:v>Drayton Mine</c:v>
                </c:pt>
                <c:pt idx="77">
                  <c:v>Duketon South Operations</c:v>
                </c:pt>
                <c:pt idx="78">
                  <c:v>Duralie Open Cut Mine</c:v>
                </c:pt>
                <c:pt idx="79">
                  <c:v>Eastern Creek Landfill (combined)</c:v>
                </c:pt>
                <c:pt idx="80">
                  <c:v>Eastern Gas Pipeline</c:v>
                </c:pt>
                <c:pt idx="81">
                  <c:v>Eastern Ridge Mine</c:v>
                </c:pt>
                <c:pt idx="82">
                  <c:v>Eliwana Mine</c:v>
                </c:pt>
                <c:pt idx="83">
                  <c:v>Elizabeth Drive Landfill</c:v>
                </c:pt>
                <c:pt idx="84">
                  <c:v>Enfield Project Venture</c:v>
                </c:pt>
                <c:pt idx="85">
                  <c:v>Ensham Resources Minesite</c:v>
                </c:pt>
                <c:pt idx="86">
                  <c:v>Ergon Energy Network Facility</c:v>
                </c:pt>
                <c:pt idx="87">
                  <c:v>Ernest Henry Mining Operations</c:v>
                </c:pt>
                <c:pt idx="88">
                  <c:v>Erskine Park Landfill</c:v>
                </c:pt>
                <c:pt idx="89">
                  <c:v>Facility WA CTC</c:v>
                </c:pt>
                <c:pt idx="90">
                  <c:v>Fairview</c:v>
                </c:pt>
                <c:pt idx="91">
                  <c:v>Farstad Shipping Offshore Operations Western Australia</c:v>
                </c:pt>
                <c:pt idx="92">
                  <c:v>Fimiston</c:v>
                </c:pt>
                <c:pt idx="93">
                  <c:v>Fisherman's Landing</c:v>
                </c:pt>
                <c:pt idx="94">
                  <c:v>FLNG</c:v>
                </c:pt>
                <c:pt idx="95">
                  <c:v>Fortescue Rail</c:v>
                </c:pt>
                <c:pt idx="96">
                  <c:v>Foxleigh Mine</c:v>
                </c:pt>
                <c:pt idx="97">
                  <c:v>Geelong Refinery</c:v>
                </c:pt>
                <c:pt idx="98">
                  <c:v>GEM01</c:v>
                </c:pt>
                <c:pt idx="99">
                  <c:v>Gibson Island</c:v>
                </c:pt>
                <c:pt idx="100">
                  <c:v>Gidgealpa Gas</c:v>
                </c:pt>
                <c:pt idx="101">
                  <c:v>Gippsland Basin facility</c:v>
                </c:pt>
                <c:pt idx="102">
                  <c:v>Glendell Mine</c:v>
                </c:pt>
                <c:pt idx="103">
                  <c:v>Goldfields Gas Transmission Pipeline</c:v>
                </c:pt>
                <c:pt idx="104">
                  <c:v>Goonyella Broadmeadow Mine</c:v>
                </c:pt>
                <c:pt idx="105">
                  <c:v>Gorgon Downstream</c:v>
                </c:pt>
                <c:pt idx="106">
                  <c:v>Gorgon Operations</c:v>
                </c:pt>
                <c:pt idx="107">
                  <c:v>Gorgon Upstream</c:v>
                </c:pt>
                <c:pt idx="108">
                  <c:v>Gove Operations</c:v>
                </c:pt>
                <c:pt idx="109">
                  <c:v>Granny Smith Mine Site</c:v>
                </c:pt>
                <c:pt idx="110">
                  <c:v>Griffin Coal Mine</c:v>
                </c:pt>
                <c:pt idx="111">
                  <c:v>Grosvenor Mine</c:v>
                </c:pt>
                <c:pt idx="112">
                  <c:v>Gruyere Mine Site</c:v>
                </c:pt>
                <c:pt idx="113">
                  <c:v>Hail Creek Mine</c:v>
                </c:pt>
                <c:pt idx="114">
                  <c:v>Hallam Road Landfill</c:v>
                </c:pt>
                <c:pt idx="115">
                  <c:v>Hope Downs 1 Mine</c:v>
                </c:pt>
                <c:pt idx="116">
                  <c:v>Hope Downs 4 Mine</c:v>
                </c:pt>
                <c:pt idx="117">
                  <c:v>Hunter Valley Operations mine</c:v>
                </c:pt>
                <c:pt idx="118">
                  <c:v>Huntly Mine</c:v>
                </c:pt>
                <c:pt idx="119">
                  <c:v>HVY01 Hunter Valley Energy Coal - CCL Facility</c:v>
                </c:pt>
                <c:pt idx="120">
                  <c:v>Integra Underground Mine</c:v>
                </c:pt>
                <c:pt idx="121">
                  <c:v>Isaac Plains Coal Mine</c:v>
                </c:pt>
                <c:pt idx="122">
                  <c:v>Jellinbah Mine</c:v>
                </c:pt>
                <c:pt idx="123">
                  <c:v>JGN</c:v>
                </c:pt>
                <c:pt idx="124">
                  <c:v>Jimblebar Mine</c:v>
                </c:pt>
                <c:pt idx="125">
                  <c:v>Jundee Gold Mine</c:v>
                </c:pt>
                <c:pt idx="126">
                  <c:v>Kemerton Silicon Smelter</c:v>
                </c:pt>
                <c:pt idx="127">
                  <c:v>Kestrel Mine</c:v>
                </c:pt>
                <c:pt idx="128">
                  <c:v>Koolyanobbing/Windarling Operations</c:v>
                </c:pt>
                <c:pt idx="129">
                  <c:v>Kooragang Island</c:v>
                </c:pt>
                <c:pt idx="130">
                  <c:v>Kwinana Alumina Refinery</c:v>
                </c:pt>
                <c:pt idx="131">
                  <c:v>Kwinana Pigment Plant</c:v>
                </c:pt>
                <c:pt idx="132">
                  <c:v>Kwinana Refinery</c:v>
                </c:pt>
                <c:pt idx="133">
                  <c:v>Lake Vermont Mine</c:v>
                </c:pt>
                <c:pt idx="134">
                  <c:v>Lang Lang</c:v>
                </c:pt>
                <c:pt idx="135">
                  <c:v>Lawn Hill Mine</c:v>
                </c:pt>
                <c:pt idx="136">
                  <c:v>Leonora Operations</c:v>
                </c:pt>
                <c:pt idx="137">
                  <c:v>Liberty OneSteel Laverton Steel Mill</c:v>
                </c:pt>
                <c:pt idx="138">
                  <c:v>Liberty Primary Steel Whyalla Steelworks</c:v>
                </c:pt>
                <c:pt idx="139">
                  <c:v>Liberty Steel Laverton Steel Mill</c:v>
                </c:pt>
                <c:pt idx="140">
                  <c:v>Liddell Coal Mine</c:v>
                </c:pt>
                <c:pt idx="141">
                  <c:v>LNG Pipeline</c:v>
                </c:pt>
                <c:pt idx="142">
                  <c:v>Mandalong Mine</c:v>
                </c:pt>
                <c:pt idx="143">
                  <c:v>Mangoola</c:v>
                </c:pt>
                <c:pt idx="144">
                  <c:v>Mannering Colliery</c:v>
                </c:pt>
                <c:pt idx="145">
                  <c:v>Marandoo Mine</c:v>
                </c:pt>
                <c:pt idx="146">
                  <c:v>Maules Creek Open Cut Mine</c:v>
                </c:pt>
                <c:pt idx="147">
                  <c:v>McArthur River Mining Operations</c:v>
                </c:pt>
                <c:pt idx="148">
                  <c:v>Meandu Coal Mine</c:v>
                </c:pt>
                <c:pt idx="149">
                  <c:v>Mesa A Mine</c:v>
                </c:pt>
                <c:pt idx="150">
                  <c:v>Metropolitan Colliery</c:v>
                </c:pt>
                <c:pt idx="151">
                  <c:v>Middlemount Coal Mine</c:v>
                </c:pt>
                <c:pt idx="152">
                  <c:v>Millennium Coal Mine</c:v>
                </c:pt>
                <c:pt idx="153">
                  <c:v>Millicent Mill</c:v>
                </c:pt>
                <c:pt idx="154">
                  <c:v>Mobil Altona Refinery</c:v>
                </c:pt>
                <c:pt idx="155">
                  <c:v>Montara Operations</c:v>
                </c:pt>
                <c:pt idx="156">
                  <c:v>Moolarben Coal Mine (Open Cut &amp; Underground)</c:v>
                </c:pt>
                <c:pt idx="157">
                  <c:v>Moomba Plant</c:v>
                </c:pt>
                <c:pt idx="158">
                  <c:v>Moomba South Central Gas</c:v>
                </c:pt>
                <c:pt idx="159">
                  <c:v>Moorvale Coal Mine</c:v>
                </c:pt>
                <c:pt idx="160">
                  <c:v>Moranbah</c:v>
                </c:pt>
                <c:pt idx="161">
                  <c:v>Moranbah North Mine</c:v>
                </c:pt>
                <c:pt idx="162">
                  <c:v>Mount Isa Mines Copper and Zinc Operations</c:v>
                </c:pt>
                <c:pt idx="163">
                  <c:v>Mount Pleasant Operations</c:v>
                </c:pt>
                <c:pt idx="164">
                  <c:v>Mount Thorley Operations</c:v>
                </c:pt>
                <c:pt idx="165">
                  <c:v>Mt Owen Coal Mine</c:v>
                </c:pt>
                <c:pt idx="166">
                  <c:v>Mt Owen Glendell Complex</c:v>
                </c:pt>
                <c:pt idx="167">
                  <c:v>Multinet Principal Distribution Network and South Gippsland Pipeline</c:v>
                </c:pt>
                <c:pt idx="168">
                  <c:v>Murrin Murrin Operations</c:v>
                </c:pt>
                <c:pt idx="169">
                  <c:v>Myuna Colliery</c:v>
                </c:pt>
                <c:pt idx="170">
                  <c:v>Narngulu Synthetic Rutile Processing Operations</c:v>
                </c:pt>
                <c:pt idx="171">
                  <c:v>Narrabri Underground Mine</c:v>
                </c:pt>
                <c:pt idx="172">
                  <c:v>New Acland Mine</c:v>
                </c:pt>
                <c:pt idx="173">
                  <c:v>New Chum Landfill</c:v>
                </c:pt>
                <c:pt idx="174">
                  <c:v>New Illawarra Road Landfill</c:v>
                </c:pt>
                <c:pt idx="175">
                  <c:v>Newlands Coal Complex including Newlands Northern UG</c:v>
                </c:pt>
                <c:pt idx="176">
                  <c:v>Newman Operations</c:v>
                </c:pt>
                <c:pt idx="177">
                  <c:v>Newmont Boddington Gold Operation</c:v>
                </c:pt>
                <c:pt idx="178">
                  <c:v>Newmont Tanami Operation</c:v>
                </c:pt>
                <c:pt idx="179">
                  <c:v>Newstan Colliery</c:v>
                </c:pt>
                <c:pt idx="180">
                  <c:v>NGP</c:v>
                </c:pt>
                <c:pt idx="181">
                  <c:v>Ningaloo Vision FPSO</c:v>
                </c:pt>
                <c:pt idx="182">
                  <c:v>NKS01 Nickel West Kalgoorlie Facility</c:v>
                </c:pt>
                <c:pt idx="183">
                  <c:v>NKW01 Nickel West Kwinana Facility</c:v>
                </c:pt>
                <c:pt idx="184">
                  <c:v>NMK01 Nickel West Mt Keith Facility</c:v>
                </c:pt>
                <c:pt idx="185">
                  <c:v>Norske Skog Boyer Mill</c:v>
                </c:pt>
                <c:pt idx="186">
                  <c:v>North Goonyella Coal Mine</c:v>
                </c:pt>
                <c:pt idx="187">
                  <c:v>North West Shelf Project</c:v>
                </c:pt>
                <c:pt idx="188">
                  <c:v>Northern Endeavour FPSO</c:v>
                </c:pt>
                <c:pt idx="189">
                  <c:v>Norwich Park Mine</c:v>
                </c:pt>
                <c:pt idx="190">
                  <c:v>Nowra Plant</c:v>
                </c:pt>
                <c:pt idx="191">
                  <c:v>Nyrstar Port Pirie Facility</c:v>
                </c:pt>
                <c:pt idx="192">
                  <c:v>Nyrstar Port Pirie Smelter</c:v>
                </c:pt>
                <c:pt idx="193">
                  <c:v>O-I Melbourne Plant</c:v>
                </c:pt>
                <c:pt idx="194">
                  <c:v>Oaky Creek Coal Complex</c:v>
                </c:pt>
                <c:pt idx="195">
                  <c:v>ODS01 Olympic Dam - UOD Facility</c:v>
                </c:pt>
                <c:pt idx="196">
                  <c:v>OI Adelaide Plant</c:v>
                </c:pt>
                <c:pt idx="197">
                  <c:v>OI Sydney Plant</c:v>
                </c:pt>
                <c:pt idx="198">
                  <c:v>Opal Australian Paper Maryvale Mill</c:v>
                </c:pt>
                <c:pt idx="199">
                  <c:v>Orora Glass Plant Gawler</c:v>
                </c:pt>
                <c:pt idx="200">
                  <c:v>Otway</c:v>
                </c:pt>
                <c:pt idx="201">
                  <c:v>Palmer Nickel and Cobalt Refinery</c:v>
                </c:pt>
                <c:pt idx="202">
                  <c:v>Paraburdoo Mine</c:v>
                </c:pt>
                <c:pt idx="203">
                  <c:v>Parkhurst Magnesia Manufacturing Plant</c:v>
                </c:pt>
                <c:pt idx="204">
                  <c:v>Peak Downs Mine</c:v>
                </c:pt>
                <c:pt idx="205">
                  <c:v>Peat</c:v>
                </c:pt>
                <c:pt idx="206">
                  <c:v>Phosphate Hill</c:v>
                </c:pt>
                <c:pt idx="207">
                  <c:v>Pilbara Rail Operations</c:v>
                </c:pt>
                <c:pt idx="208">
                  <c:v>Pinjarra Alumina Refinery</c:v>
                </c:pt>
                <c:pt idx="209">
                  <c:v>Pluto LNG</c:v>
                </c:pt>
                <c:pt idx="210">
                  <c:v>Point Henry Aluminium Smelter</c:v>
                </c:pt>
                <c:pt idx="211">
                  <c:v>Poitrel Mine</c:v>
                </c:pt>
                <c:pt idx="212">
                  <c:v>Port Bonython Plant</c:v>
                </c:pt>
                <c:pt idx="213">
                  <c:v>Port Kembla Steelworks</c:v>
                </c:pt>
                <c:pt idx="214">
                  <c:v>Port Latta Pelletising Plant</c:v>
                </c:pt>
                <c:pt idx="215">
                  <c:v>Portland Aluminium Smelter</c:v>
                </c:pt>
                <c:pt idx="216">
                  <c:v>Premier Coal Mine</c:v>
                </c:pt>
                <c:pt idx="217">
                  <c:v>PRL03 Rail - IOR Facility</c:v>
                </c:pt>
                <c:pt idx="218">
                  <c:v>Prominent Hill Mine</c:v>
                </c:pt>
                <c:pt idx="219">
                  <c:v>Qantas Airways Limited National Transport Facility</c:v>
                </c:pt>
                <c:pt idx="220">
                  <c:v>Qenos Altona Manufacturing</c:v>
                </c:pt>
                <c:pt idx="221">
                  <c:v>Qenos Botany Manufacturing</c:v>
                </c:pt>
                <c:pt idx="222">
                  <c:v>QGC Upstream</c:v>
                </c:pt>
                <c:pt idx="223">
                  <c:v>QGC Upstream</c:v>
                </c:pt>
                <c:pt idx="224">
                  <c:v>QLD - Ti Tree Bioreactor</c:v>
                </c:pt>
                <c:pt idx="225">
                  <c:v>QLD - Wattle Glen Landfill</c:v>
                </c:pt>
                <c:pt idx="226">
                  <c:v>Queensland</c:v>
                </c:pt>
                <c:pt idx="227">
                  <c:v>Queensland Alumina Limited Refinery</c:v>
                </c:pt>
                <c:pt idx="228">
                  <c:v>Queensland Curtis LNG Plant</c:v>
                </c:pt>
                <c:pt idx="229">
                  <c:v>Queensland Nitrates Ammonium Nitrate Plant</c:v>
                </c:pt>
                <c:pt idx="230">
                  <c:v>Railton</c:v>
                </c:pt>
                <c:pt idx="231">
                  <c:v>Ranger Mine</c:v>
                </c:pt>
                <c:pt idx="232">
                  <c:v>Ravensthorpe Nickel Operation</c:v>
                </c:pt>
                <c:pt idx="233">
                  <c:v>Ravensworth Operations</c:v>
                </c:pt>
                <c:pt idx="234">
                  <c:v>Ravensworth Underground Coal Mine</c:v>
                </c:pt>
                <c:pt idx="235">
                  <c:v>Red Hill Waste Management Facility</c:v>
                </c:pt>
                <c:pt idx="236">
                  <c:v>Reedy Creek &amp; Combabula</c:v>
                </c:pt>
                <c:pt idx="237">
                  <c:v>Refinery Qld Lytton</c:v>
                </c:pt>
                <c:pt idx="238">
                  <c:v>Rio Tinto Marine - Qld</c:v>
                </c:pt>
                <c:pt idx="239">
                  <c:v>Rio Tinto Weipa</c:v>
                </c:pt>
                <c:pt idx="240">
                  <c:v>Rio Tinto Yarwun</c:v>
                </c:pt>
                <c:pt idx="241">
                  <c:v>Rix's Creek Pty Limited</c:v>
                </c:pt>
                <c:pt idx="242">
                  <c:v>Rochedale landfill facility</c:v>
                </c:pt>
                <c:pt idx="243">
                  <c:v>Rolleston Coal Mine</c:v>
                </c:pt>
                <c:pt idx="244">
                  <c:v>Roma Hub</c:v>
                </c:pt>
                <c:pt idx="245">
                  <c:v>Roy Hill Mine</c:v>
                </c:pt>
                <c:pt idx="246">
                  <c:v>Russell Vale Colliery</c:v>
                </c:pt>
                <c:pt idx="247">
                  <c:v>SA - IWS Landfill</c:v>
                </c:pt>
                <c:pt idx="248">
                  <c:v>Saraji Mine</c:v>
                </c:pt>
                <c:pt idx="249">
                  <c:v>Savage River Mine</c:v>
                </c:pt>
                <c:pt idx="250">
                  <c:v>Sewerage East</c:v>
                </c:pt>
                <c:pt idx="251">
                  <c:v>Sewerage West</c:v>
                </c:pt>
                <c:pt idx="252">
                  <c:v>SIMEC Mining - Middleback Range Iron Ore Mine (Whyalla)</c:v>
                </c:pt>
                <c:pt idx="253">
                  <c:v>SIMEC Mining - Tahmoor Coal Mine</c:v>
                </c:pt>
                <c:pt idx="254">
                  <c:v>Sino Iron Project - Cape Preston</c:v>
                </c:pt>
                <c:pt idx="255">
                  <c:v>Sojitz Minerva Coal Mine</c:v>
                </c:pt>
                <c:pt idx="256">
                  <c:v>Solomon Mine</c:v>
                </c:pt>
                <c:pt idx="257">
                  <c:v>Sonoma Mine</c:v>
                </c:pt>
                <c:pt idx="258">
                  <c:v>South Denison</c:v>
                </c:pt>
                <c:pt idx="259">
                  <c:v>South Walker Creek</c:v>
                </c:pt>
                <c:pt idx="260">
                  <c:v>South West Queensland Pipeline</c:v>
                </c:pt>
                <c:pt idx="261">
                  <c:v>South West Synthetic Rutile Operations</c:v>
                </c:pt>
                <c:pt idx="262">
                  <c:v>Spring Gully</c:v>
                </c:pt>
                <c:pt idx="263">
                  <c:v>Start up and Operations of the Ichthys LNG Project</c:v>
                </c:pt>
                <c:pt idx="264">
                  <c:v>State Transit Bus Operations</c:v>
                </c:pt>
                <c:pt idx="265">
                  <c:v>Sunrise Dam</c:v>
                </c:pt>
                <c:pt idx="266">
                  <c:v>Swanbank Landfill</c:v>
                </c:pt>
                <c:pt idx="267">
                  <c:v>Talinga</c:v>
                </c:pt>
                <c:pt idx="268">
                  <c:v>Tarrawonga Open-Cut Mine</c:v>
                </c:pt>
                <c:pt idx="269">
                  <c:v>Telfer Gold Mine</c:v>
                </c:pt>
                <c:pt idx="270">
                  <c:v>TEM01</c:v>
                </c:pt>
                <c:pt idx="271">
                  <c:v>The Maddingley Mine Trust</c:v>
                </c:pt>
                <c:pt idx="272">
                  <c:v>Thunderbox</c:v>
                </c:pt>
                <c:pt idx="273">
                  <c:v>Tipton Operations</c:v>
                </c:pt>
                <c:pt idx="274">
                  <c:v>Toll National Transport Facility</c:v>
                </c:pt>
                <c:pt idx="275">
                  <c:v>Tom Price Mine / WTS</c:v>
                </c:pt>
                <c:pt idx="276">
                  <c:v>Tomago Aluminium Smelter</c:v>
                </c:pt>
                <c:pt idx="277">
                  <c:v>Tropicana Gold Mine</c:v>
                </c:pt>
                <c:pt idx="278">
                  <c:v>TT-Line - Victorian Operation</c:v>
                </c:pt>
                <c:pt idx="279">
                  <c:v>Ulan Coal Mine</c:v>
                </c:pt>
                <c:pt idx="280">
                  <c:v>United Coal Mine</c:v>
                </c:pt>
                <c:pt idx="281">
                  <c:v>V/Line</c:v>
                </c:pt>
                <c:pt idx="282">
                  <c:v>Varanus Hub</c:v>
                </c:pt>
                <c:pt idx="283">
                  <c:v>Victoria</c:v>
                </c:pt>
                <c:pt idx="284">
                  <c:v>Victory Road Landfill</c:v>
                </c:pt>
                <c:pt idx="285">
                  <c:v>Vincent Project Venture</c:v>
                </c:pt>
                <c:pt idx="286">
                  <c:v>Virgin Australia Holdings National Transport Facility</c:v>
                </c:pt>
                <c:pt idx="287">
                  <c:v>Visy Paper 8 - Gibson Island</c:v>
                </c:pt>
                <c:pt idx="288">
                  <c:v>WA Oil - Barrow Island</c:v>
                </c:pt>
                <c:pt idx="289">
                  <c:v>Wagerup Alumina Refinery</c:v>
                </c:pt>
                <c:pt idx="290">
                  <c:v>Wambo Coal Mine</c:v>
                </c:pt>
                <c:pt idx="291">
                  <c:v>Warkworth Mine</c:v>
                </c:pt>
                <c:pt idx="292">
                  <c:v>Werris Creek Open-Cut Mine</c:v>
                </c:pt>
                <c:pt idx="293">
                  <c:v>West Angelas Mine</c:v>
                </c:pt>
                <c:pt idx="294">
                  <c:v>West Wallsend Coal Mine</c:v>
                </c:pt>
                <c:pt idx="295">
                  <c:v>Western Australia</c:v>
                </c:pt>
                <c:pt idx="296">
                  <c:v>Western Port Works</c:v>
                </c:pt>
                <c:pt idx="297">
                  <c:v>Wheatstone Operations</c:v>
                </c:pt>
                <c:pt idx="298">
                  <c:v>Wheatstone Project LNG Plant and Associated Facilities</c:v>
                </c:pt>
                <c:pt idx="299">
                  <c:v>Wilkie Creek Coal Mine</c:v>
                </c:pt>
                <c:pt idx="300">
                  <c:v>Wilpinjong Coal Mine</c:v>
                </c:pt>
                <c:pt idx="301">
                  <c:v>Wongawilli mine</c:v>
                </c:pt>
                <c:pt idx="302">
                  <c:v>Woodlawn Bioreactor</c:v>
                </c:pt>
                <c:pt idx="303">
                  <c:v>WOR01 Worsley Alumina Refinery/Mine</c:v>
                </c:pt>
                <c:pt idx="304">
                  <c:v>YAN01 Yandi/Marillana Creek Mine - MNG Facility</c:v>
                </c:pt>
                <c:pt idx="305">
                  <c:v>Yandicoogina Mine</c:v>
                </c:pt>
                <c:pt idx="306">
                  <c:v>Yarrabee Coal Mine (Open Cut)</c:v>
                </c:pt>
                <c:pt idx="307">
                  <c:v>Yarwun Nitrates</c:v>
                </c:pt>
                <c:pt idx="308">
                  <c:v>YPF Ammonia Plant</c:v>
                </c:pt>
              </c:strCache>
            </c:strRef>
          </c:cat>
          <c:val>
            <c:numRef>
              <c:f>'Figure 6 Headroom by facility'!$D$3:$D$311</c:f>
              <c:numCache>
                <c:formatCode>#,##0</c:formatCode>
                <c:ptCount val="309"/>
                <c:pt idx="0">
                  <c:v>100477</c:v>
                </c:pt>
                <c:pt idx="1">
                  <c:v>148286</c:v>
                </c:pt>
                <c:pt idx="2">
                  <c:v>141051</c:v>
                </c:pt>
                <c:pt idx="3">
                  <c:v>117909</c:v>
                </c:pt>
                <c:pt idx="4">
                  <c:v>617197</c:v>
                </c:pt>
                <c:pt idx="5">
                  <c:v>1950511</c:v>
                </c:pt>
                <c:pt idx="6">
                  <c:v>386831</c:v>
                </c:pt>
                <c:pt idx="7">
                  <c:v>73064</c:v>
                </c:pt>
                <c:pt idx="8">
                  <c:v>0</c:v>
                </c:pt>
                <c:pt idx="9">
                  <c:v>285054</c:v>
                </c:pt>
                <c:pt idx="10">
                  <c:v>-7432</c:v>
                </c:pt>
                <c:pt idx="11">
                  <c:v>11735</c:v>
                </c:pt>
                <c:pt idx="12">
                  <c:v>255907</c:v>
                </c:pt>
                <c:pt idx="13">
                  <c:v>106590</c:v>
                </c:pt>
                <c:pt idx="14">
                  <c:v>169898</c:v>
                </c:pt>
                <c:pt idx="15">
                  <c:v>211460</c:v>
                </c:pt>
                <c:pt idx="16">
                  <c:v>91339</c:v>
                </c:pt>
                <c:pt idx="17">
                  <c:v>55074</c:v>
                </c:pt>
                <c:pt idx="18">
                  <c:v>0</c:v>
                </c:pt>
                <c:pt idx="19">
                  <c:v>278387</c:v>
                </c:pt>
                <c:pt idx="20">
                  <c:v>0</c:v>
                </c:pt>
                <c:pt idx="21">
                  <c:v>130007</c:v>
                </c:pt>
                <c:pt idx="22">
                  <c:v>53473</c:v>
                </c:pt>
                <c:pt idx="23">
                  <c:v>4097</c:v>
                </c:pt>
                <c:pt idx="24">
                  <c:v>2979450</c:v>
                </c:pt>
                <c:pt idx="25">
                  <c:v>30575</c:v>
                </c:pt>
                <c:pt idx="26">
                  <c:v>140474</c:v>
                </c:pt>
                <c:pt idx="27">
                  <c:v>70398</c:v>
                </c:pt>
                <c:pt idx="28">
                  <c:v>131702</c:v>
                </c:pt>
                <c:pt idx="29">
                  <c:v>229743</c:v>
                </c:pt>
                <c:pt idx="30">
                  <c:v>21028</c:v>
                </c:pt>
                <c:pt idx="31">
                  <c:v>99264</c:v>
                </c:pt>
                <c:pt idx="32">
                  <c:v>64764</c:v>
                </c:pt>
                <c:pt idx="33">
                  <c:v>9808</c:v>
                </c:pt>
                <c:pt idx="34">
                  <c:v>0</c:v>
                </c:pt>
                <c:pt idx="35">
                  <c:v>22804</c:v>
                </c:pt>
                <c:pt idx="36">
                  <c:v>226806</c:v>
                </c:pt>
                <c:pt idx="37">
                  <c:v>157780</c:v>
                </c:pt>
                <c:pt idx="38">
                  <c:v>112476</c:v>
                </c:pt>
                <c:pt idx="39">
                  <c:v>16241</c:v>
                </c:pt>
                <c:pt idx="40">
                  <c:v>-162436</c:v>
                </c:pt>
                <c:pt idx="41">
                  <c:v>109955</c:v>
                </c:pt>
                <c:pt idx="42">
                  <c:v>361500</c:v>
                </c:pt>
                <c:pt idx="43">
                  <c:v>0</c:v>
                </c:pt>
                <c:pt idx="44">
                  <c:v>0</c:v>
                </c:pt>
                <c:pt idx="45">
                  <c:v>61823</c:v>
                </c:pt>
                <c:pt idx="46">
                  <c:v>130023</c:v>
                </c:pt>
                <c:pt idx="47">
                  <c:v>100000</c:v>
                </c:pt>
                <c:pt idx="48">
                  <c:v>125947</c:v>
                </c:pt>
                <c:pt idx="49">
                  <c:v>100000</c:v>
                </c:pt>
                <c:pt idx="50">
                  <c:v>100000</c:v>
                </c:pt>
                <c:pt idx="51">
                  <c:v>691140</c:v>
                </c:pt>
                <c:pt idx="52">
                  <c:v>123312</c:v>
                </c:pt>
                <c:pt idx="53">
                  <c:v>102296</c:v>
                </c:pt>
                <c:pt idx="54">
                  <c:v>45184</c:v>
                </c:pt>
                <c:pt idx="55">
                  <c:v>65171</c:v>
                </c:pt>
                <c:pt idx="56">
                  <c:v>102202</c:v>
                </c:pt>
                <c:pt idx="57">
                  <c:v>100000</c:v>
                </c:pt>
                <c:pt idx="58">
                  <c:v>891756</c:v>
                </c:pt>
                <c:pt idx="59">
                  <c:v>8277</c:v>
                </c:pt>
                <c:pt idx="60">
                  <c:v>278185</c:v>
                </c:pt>
                <c:pt idx="61">
                  <c:v>72169</c:v>
                </c:pt>
                <c:pt idx="62">
                  <c:v>67764</c:v>
                </c:pt>
                <c:pt idx="63">
                  <c:v>597000</c:v>
                </c:pt>
                <c:pt idx="64">
                  <c:v>41478</c:v>
                </c:pt>
                <c:pt idx="65">
                  <c:v>197134</c:v>
                </c:pt>
                <c:pt idx="66">
                  <c:v>11532</c:v>
                </c:pt>
                <c:pt idx="67">
                  <c:v>14601</c:v>
                </c:pt>
                <c:pt idx="68">
                  <c:v>119137</c:v>
                </c:pt>
                <c:pt idx="69">
                  <c:v>94692</c:v>
                </c:pt>
                <c:pt idx="70">
                  <c:v>66212</c:v>
                </c:pt>
                <c:pt idx="71">
                  <c:v>100854</c:v>
                </c:pt>
                <c:pt idx="72">
                  <c:v>111618</c:v>
                </c:pt>
                <c:pt idx="73">
                  <c:v>257381</c:v>
                </c:pt>
                <c:pt idx="74">
                  <c:v>-5091</c:v>
                </c:pt>
                <c:pt idx="75">
                  <c:v>34432</c:v>
                </c:pt>
                <c:pt idx="76">
                  <c:v>369995</c:v>
                </c:pt>
                <c:pt idx="77">
                  <c:v>0</c:v>
                </c:pt>
                <c:pt idx="78">
                  <c:v>170557</c:v>
                </c:pt>
                <c:pt idx="79">
                  <c:v>151530</c:v>
                </c:pt>
                <c:pt idx="80">
                  <c:v>153846</c:v>
                </c:pt>
                <c:pt idx="81">
                  <c:v>5108</c:v>
                </c:pt>
                <c:pt idx="82">
                  <c:v>0</c:v>
                </c:pt>
                <c:pt idx="83">
                  <c:v>157424</c:v>
                </c:pt>
                <c:pt idx="84">
                  <c:v>309673</c:v>
                </c:pt>
                <c:pt idx="85">
                  <c:v>148286</c:v>
                </c:pt>
                <c:pt idx="86">
                  <c:v>106831</c:v>
                </c:pt>
                <c:pt idx="87">
                  <c:v>100000</c:v>
                </c:pt>
                <c:pt idx="88">
                  <c:v>328946</c:v>
                </c:pt>
                <c:pt idx="89">
                  <c:v>-2688</c:v>
                </c:pt>
                <c:pt idx="90">
                  <c:v>122511</c:v>
                </c:pt>
                <c:pt idx="91">
                  <c:v>166612</c:v>
                </c:pt>
                <c:pt idx="92">
                  <c:v>238394</c:v>
                </c:pt>
                <c:pt idx="93">
                  <c:v>180659</c:v>
                </c:pt>
                <c:pt idx="94">
                  <c:v>408414</c:v>
                </c:pt>
                <c:pt idx="95">
                  <c:v>-46</c:v>
                </c:pt>
                <c:pt idx="96">
                  <c:v>30357</c:v>
                </c:pt>
                <c:pt idx="97">
                  <c:v>59018</c:v>
                </c:pt>
                <c:pt idx="98">
                  <c:v>-4264</c:v>
                </c:pt>
                <c:pt idx="99">
                  <c:v>153819</c:v>
                </c:pt>
                <c:pt idx="100">
                  <c:v>128998</c:v>
                </c:pt>
                <c:pt idx="101">
                  <c:v>228146</c:v>
                </c:pt>
                <c:pt idx="102">
                  <c:v>448015</c:v>
                </c:pt>
                <c:pt idx="103">
                  <c:v>0</c:v>
                </c:pt>
                <c:pt idx="104">
                  <c:v>694152</c:v>
                </c:pt>
                <c:pt idx="105">
                  <c:v>261572</c:v>
                </c:pt>
                <c:pt idx="106">
                  <c:v>-632028</c:v>
                </c:pt>
                <c:pt idx="107">
                  <c:v>118345</c:v>
                </c:pt>
                <c:pt idx="108">
                  <c:v>30387</c:v>
                </c:pt>
                <c:pt idx="109">
                  <c:v>14815</c:v>
                </c:pt>
                <c:pt idx="110">
                  <c:v>146180</c:v>
                </c:pt>
                <c:pt idx="111">
                  <c:v>179640</c:v>
                </c:pt>
                <c:pt idx="112">
                  <c:v>0</c:v>
                </c:pt>
                <c:pt idx="113">
                  <c:v>93438</c:v>
                </c:pt>
                <c:pt idx="114">
                  <c:v>125896</c:v>
                </c:pt>
                <c:pt idx="115">
                  <c:v>-2025</c:v>
                </c:pt>
                <c:pt idx="116">
                  <c:v>0</c:v>
                </c:pt>
                <c:pt idx="117">
                  <c:v>587138</c:v>
                </c:pt>
                <c:pt idx="118">
                  <c:v>0</c:v>
                </c:pt>
                <c:pt idx="119">
                  <c:v>927938</c:v>
                </c:pt>
                <c:pt idx="120">
                  <c:v>472061</c:v>
                </c:pt>
                <c:pt idx="121">
                  <c:v>33209</c:v>
                </c:pt>
                <c:pt idx="122">
                  <c:v>-12761</c:v>
                </c:pt>
                <c:pt idx="123">
                  <c:v>165655</c:v>
                </c:pt>
                <c:pt idx="124">
                  <c:v>46063</c:v>
                </c:pt>
                <c:pt idx="125">
                  <c:v>16551</c:v>
                </c:pt>
                <c:pt idx="126">
                  <c:v>-1930</c:v>
                </c:pt>
                <c:pt idx="127">
                  <c:v>283226</c:v>
                </c:pt>
                <c:pt idx="128">
                  <c:v>155569</c:v>
                </c:pt>
                <c:pt idx="129">
                  <c:v>0</c:v>
                </c:pt>
                <c:pt idx="130">
                  <c:v>50980</c:v>
                </c:pt>
                <c:pt idx="131">
                  <c:v>13069</c:v>
                </c:pt>
                <c:pt idx="132">
                  <c:v>27576</c:v>
                </c:pt>
                <c:pt idx="133">
                  <c:v>123190</c:v>
                </c:pt>
                <c:pt idx="134">
                  <c:v>77967</c:v>
                </c:pt>
                <c:pt idx="135">
                  <c:v>134238</c:v>
                </c:pt>
                <c:pt idx="136">
                  <c:v>0</c:v>
                </c:pt>
                <c:pt idx="137">
                  <c:v>12856</c:v>
                </c:pt>
                <c:pt idx="138">
                  <c:v>70363</c:v>
                </c:pt>
                <c:pt idx="139">
                  <c:v>126431</c:v>
                </c:pt>
                <c:pt idx="140">
                  <c:v>270209</c:v>
                </c:pt>
                <c:pt idx="141">
                  <c:v>3699</c:v>
                </c:pt>
                <c:pt idx="142">
                  <c:v>715526</c:v>
                </c:pt>
                <c:pt idx="143">
                  <c:v>155434</c:v>
                </c:pt>
                <c:pt idx="144">
                  <c:v>210243</c:v>
                </c:pt>
                <c:pt idx="145">
                  <c:v>13353</c:v>
                </c:pt>
                <c:pt idx="146">
                  <c:v>47835</c:v>
                </c:pt>
                <c:pt idx="147">
                  <c:v>0</c:v>
                </c:pt>
                <c:pt idx="148">
                  <c:v>86950</c:v>
                </c:pt>
                <c:pt idx="149">
                  <c:v>0</c:v>
                </c:pt>
                <c:pt idx="150">
                  <c:v>32073</c:v>
                </c:pt>
                <c:pt idx="151">
                  <c:v>30936</c:v>
                </c:pt>
                <c:pt idx="152">
                  <c:v>207453</c:v>
                </c:pt>
                <c:pt idx="153">
                  <c:v>8638</c:v>
                </c:pt>
                <c:pt idx="154">
                  <c:v>74808</c:v>
                </c:pt>
                <c:pt idx="155">
                  <c:v>18981</c:v>
                </c:pt>
                <c:pt idx="156">
                  <c:v>319220</c:v>
                </c:pt>
                <c:pt idx="157">
                  <c:v>211943</c:v>
                </c:pt>
                <c:pt idx="158">
                  <c:v>105869</c:v>
                </c:pt>
                <c:pt idx="159">
                  <c:v>10560</c:v>
                </c:pt>
                <c:pt idx="160">
                  <c:v>-249955</c:v>
                </c:pt>
                <c:pt idx="161">
                  <c:v>277509</c:v>
                </c:pt>
                <c:pt idx="162">
                  <c:v>275344</c:v>
                </c:pt>
                <c:pt idx="163">
                  <c:v>478050</c:v>
                </c:pt>
                <c:pt idx="164">
                  <c:v>333244</c:v>
                </c:pt>
                <c:pt idx="165">
                  <c:v>397273</c:v>
                </c:pt>
                <c:pt idx="166">
                  <c:v>0</c:v>
                </c:pt>
                <c:pt idx="167">
                  <c:v>134502</c:v>
                </c:pt>
                <c:pt idx="168">
                  <c:v>66479</c:v>
                </c:pt>
                <c:pt idx="169">
                  <c:v>0</c:v>
                </c:pt>
                <c:pt idx="170">
                  <c:v>100000</c:v>
                </c:pt>
                <c:pt idx="171">
                  <c:v>43979</c:v>
                </c:pt>
                <c:pt idx="172">
                  <c:v>286093</c:v>
                </c:pt>
                <c:pt idx="173">
                  <c:v>156813</c:v>
                </c:pt>
                <c:pt idx="174">
                  <c:v>227315</c:v>
                </c:pt>
                <c:pt idx="175">
                  <c:v>680764</c:v>
                </c:pt>
                <c:pt idx="176">
                  <c:v>-4724</c:v>
                </c:pt>
                <c:pt idx="177">
                  <c:v>208038</c:v>
                </c:pt>
                <c:pt idx="178">
                  <c:v>235957</c:v>
                </c:pt>
                <c:pt idx="179">
                  <c:v>135862</c:v>
                </c:pt>
                <c:pt idx="180">
                  <c:v>-17531</c:v>
                </c:pt>
                <c:pt idx="181">
                  <c:v>244242</c:v>
                </c:pt>
                <c:pt idx="182">
                  <c:v>5139</c:v>
                </c:pt>
                <c:pt idx="183">
                  <c:v>17155</c:v>
                </c:pt>
                <c:pt idx="184">
                  <c:v>152368</c:v>
                </c:pt>
                <c:pt idx="185">
                  <c:v>30131</c:v>
                </c:pt>
                <c:pt idx="186">
                  <c:v>931312</c:v>
                </c:pt>
                <c:pt idx="187">
                  <c:v>183889</c:v>
                </c:pt>
                <c:pt idx="188">
                  <c:v>50446</c:v>
                </c:pt>
                <c:pt idx="189">
                  <c:v>100000</c:v>
                </c:pt>
                <c:pt idx="190">
                  <c:v>39668</c:v>
                </c:pt>
                <c:pt idx="191">
                  <c:v>211132</c:v>
                </c:pt>
                <c:pt idx="192">
                  <c:v>0</c:v>
                </c:pt>
                <c:pt idx="193">
                  <c:v>149986</c:v>
                </c:pt>
                <c:pt idx="194">
                  <c:v>1098383</c:v>
                </c:pt>
                <c:pt idx="195">
                  <c:v>37119</c:v>
                </c:pt>
                <c:pt idx="196">
                  <c:v>165594</c:v>
                </c:pt>
                <c:pt idx="197">
                  <c:v>161610</c:v>
                </c:pt>
                <c:pt idx="198">
                  <c:v>406527</c:v>
                </c:pt>
                <c:pt idx="199">
                  <c:v>7238</c:v>
                </c:pt>
                <c:pt idx="200">
                  <c:v>90563</c:v>
                </c:pt>
                <c:pt idx="201">
                  <c:v>1481828</c:v>
                </c:pt>
                <c:pt idx="202">
                  <c:v>30345</c:v>
                </c:pt>
                <c:pt idx="203">
                  <c:v>71166</c:v>
                </c:pt>
                <c:pt idx="204">
                  <c:v>52557</c:v>
                </c:pt>
                <c:pt idx="205">
                  <c:v>133960</c:v>
                </c:pt>
                <c:pt idx="206">
                  <c:v>100263</c:v>
                </c:pt>
                <c:pt idx="207">
                  <c:v>80278</c:v>
                </c:pt>
                <c:pt idx="208">
                  <c:v>36036</c:v>
                </c:pt>
                <c:pt idx="209">
                  <c:v>638122</c:v>
                </c:pt>
                <c:pt idx="210">
                  <c:v>100000</c:v>
                </c:pt>
                <c:pt idx="211">
                  <c:v>0</c:v>
                </c:pt>
                <c:pt idx="212">
                  <c:v>25818</c:v>
                </c:pt>
                <c:pt idx="213">
                  <c:v>4905781</c:v>
                </c:pt>
                <c:pt idx="214">
                  <c:v>24907</c:v>
                </c:pt>
                <c:pt idx="215">
                  <c:v>5457</c:v>
                </c:pt>
                <c:pt idx="216">
                  <c:v>132363</c:v>
                </c:pt>
                <c:pt idx="217">
                  <c:v>36728</c:v>
                </c:pt>
                <c:pt idx="218">
                  <c:v>228843</c:v>
                </c:pt>
                <c:pt idx="219">
                  <c:v>409096</c:v>
                </c:pt>
                <c:pt idx="220">
                  <c:v>5913</c:v>
                </c:pt>
                <c:pt idx="221">
                  <c:v>19991</c:v>
                </c:pt>
                <c:pt idx="222">
                  <c:v>564974</c:v>
                </c:pt>
                <c:pt idx="223">
                  <c:v>564974</c:v>
                </c:pt>
                <c:pt idx="224">
                  <c:v>192809</c:v>
                </c:pt>
                <c:pt idx="225">
                  <c:v>149010</c:v>
                </c:pt>
                <c:pt idx="226">
                  <c:v>0</c:v>
                </c:pt>
                <c:pt idx="227">
                  <c:v>193458</c:v>
                </c:pt>
                <c:pt idx="228">
                  <c:v>453490</c:v>
                </c:pt>
                <c:pt idx="229">
                  <c:v>540258</c:v>
                </c:pt>
                <c:pt idx="230">
                  <c:v>27620</c:v>
                </c:pt>
                <c:pt idx="231">
                  <c:v>24582</c:v>
                </c:pt>
                <c:pt idx="232">
                  <c:v>133096</c:v>
                </c:pt>
                <c:pt idx="233">
                  <c:v>13977</c:v>
                </c:pt>
                <c:pt idx="234">
                  <c:v>747879</c:v>
                </c:pt>
                <c:pt idx="235">
                  <c:v>116767</c:v>
                </c:pt>
                <c:pt idx="236">
                  <c:v>102227</c:v>
                </c:pt>
                <c:pt idx="237">
                  <c:v>64316</c:v>
                </c:pt>
                <c:pt idx="238">
                  <c:v>108747</c:v>
                </c:pt>
                <c:pt idx="239">
                  <c:v>24992</c:v>
                </c:pt>
                <c:pt idx="240">
                  <c:v>226860</c:v>
                </c:pt>
                <c:pt idx="241">
                  <c:v>275960</c:v>
                </c:pt>
                <c:pt idx="242">
                  <c:v>186742</c:v>
                </c:pt>
                <c:pt idx="243">
                  <c:v>117153</c:v>
                </c:pt>
                <c:pt idx="244">
                  <c:v>149158</c:v>
                </c:pt>
                <c:pt idx="245">
                  <c:v>28766</c:v>
                </c:pt>
                <c:pt idx="246">
                  <c:v>655650</c:v>
                </c:pt>
                <c:pt idx="247">
                  <c:v>105065</c:v>
                </c:pt>
                <c:pt idx="248">
                  <c:v>97534</c:v>
                </c:pt>
                <c:pt idx="249">
                  <c:v>0</c:v>
                </c:pt>
                <c:pt idx="250">
                  <c:v>23190</c:v>
                </c:pt>
                <c:pt idx="251">
                  <c:v>44570</c:v>
                </c:pt>
                <c:pt idx="252">
                  <c:v>121547</c:v>
                </c:pt>
                <c:pt idx="253">
                  <c:v>283147</c:v>
                </c:pt>
                <c:pt idx="254">
                  <c:v>36544</c:v>
                </c:pt>
                <c:pt idx="255">
                  <c:v>128041</c:v>
                </c:pt>
                <c:pt idx="256">
                  <c:v>-15298</c:v>
                </c:pt>
                <c:pt idx="257">
                  <c:v>215840</c:v>
                </c:pt>
                <c:pt idx="258">
                  <c:v>146128</c:v>
                </c:pt>
                <c:pt idx="259">
                  <c:v>56084</c:v>
                </c:pt>
                <c:pt idx="260">
                  <c:v>279284</c:v>
                </c:pt>
                <c:pt idx="261">
                  <c:v>104158</c:v>
                </c:pt>
                <c:pt idx="262">
                  <c:v>77524</c:v>
                </c:pt>
                <c:pt idx="263">
                  <c:v>718493</c:v>
                </c:pt>
                <c:pt idx="264">
                  <c:v>47527</c:v>
                </c:pt>
                <c:pt idx="265">
                  <c:v>-1125</c:v>
                </c:pt>
                <c:pt idx="266">
                  <c:v>201349</c:v>
                </c:pt>
                <c:pt idx="267">
                  <c:v>18661</c:v>
                </c:pt>
                <c:pt idx="268">
                  <c:v>125025</c:v>
                </c:pt>
                <c:pt idx="269">
                  <c:v>88841</c:v>
                </c:pt>
                <c:pt idx="270">
                  <c:v>69675</c:v>
                </c:pt>
                <c:pt idx="271">
                  <c:v>146390</c:v>
                </c:pt>
                <c:pt idx="272">
                  <c:v>0</c:v>
                </c:pt>
                <c:pt idx="273">
                  <c:v>143038</c:v>
                </c:pt>
                <c:pt idx="274">
                  <c:v>76954</c:v>
                </c:pt>
                <c:pt idx="275">
                  <c:v>31890</c:v>
                </c:pt>
                <c:pt idx="276">
                  <c:v>96047</c:v>
                </c:pt>
                <c:pt idx="277">
                  <c:v>5673</c:v>
                </c:pt>
                <c:pt idx="278">
                  <c:v>-12572</c:v>
                </c:pt>
                <c:pt idx="279">
                  <c:v>63863</c:v>
                </c:pt>
                <c:pt idx="280">
                  <c:v>731007</c:v>
                </c:pt>
                <c:pt idx="281">
                  <c:v>-652</c:v>
                </c:pt>
                <c:pt idx="282">
                  <c:v>351413</c:v>
                </c:pt>
                <c:pt idx="283">
                  <c:v>0</c:v>
                </c:pt>
                <c:pt idx="284">
                  <c:v>100981</c:v>
                </c:pt>
                <c:pt idx="285">
                  <c:v>598755</c:v>
                </c:pt>
                <c:pt idx="286">
                  <c:v>223303</c:v>
                </c:pt>
                <c:pt idx="287">
                  <c:v>107134</c:v>
                </c:pt>
                <c:pt idx="288">
                  <c:v>152278</c:v>
                </c:pt>
                <c:pt idx="289">
                  <c:v>101553</c:v>
                </c:pt>
                <c:pt idx="290">
                  <c:v>435123</c:v>
                </c:pt>
                <c:pt idx="291">
                  <c:v>88854</c:v>
                </c:pt>
                <c:pt idx="292">
                  <c:v>130642</c:v>
                </c:pt>
                <c:pt idx="293">
                  <c:v>-1298</c:v>
                </c:pt>
                <c:pt idx="294">
                  <c:v>314828</c:v>
                </c:pt>
                <c:pt idx="295">
                  <c:v>0</c:v>
                </c:pt>
                <c:pt idx="296">
                  <c:v>3882</c:v>
                </c:pt>
                <c:pt idx="297">
                  <c:v>37061</c:v>
                </c:pt>
                <c:pt idx="298">
                  <c:v>164882</c:v>
                </c:pt>
                <c:pt idx="299">
                  <c:v>122356</c:v>
                </c:pt>
                <c:pt idx="300">
                  <c:v>656793</c:v>
                </c:pt>
                <c:pt idx="301">
                  <c:v>294217</c:v>
                </c:pt>
                <c:pt idx="302">
                  <c:v>142756</c:v>
                </c:pt>
                <c:pt idx="303">
                  <c:v>108805</c:v>
                </c:pt>
                <c:pt idx="304">
                  <c:v>-2495</c:v>
                </c:pt>
                <c:pt idx="305">
                  <c:v>-9344</c:v>
                </c:pt>
                <c:pt idx="306">
                  <c:v>20846</c:v>
                </c:pt>
                <c:pt idx="307">
                  <c:v>529916</c:v>
                </c:pt>
                <c:pt idx="308">
                  <c:v>631532</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2-9C9B-4B36-A7ED-61C126162CCB}"/>
            </c:ext>
          </c:extLst>
        </c:ser>
        <c:ser>
          <c:idx val="3"/>
          <c:order val="3"/>
          <c:tx>
            <c:v>2019-20</c:v>
          </c:tx>
          <c:spPr>
            <a:solidFill>
              <a:srgbClr val="00B398"/>
            </a:solidFill>
            <a:ln cmpd="sng">
              <a:solidFill>
                <a:srgbClr val="000000"/>
              </a:solidFill>
            </a:ln>
          </c:spPr>
          <c:invertIfNegative val="1"/>
          <c:cat>
            <c:strRef>
              <c:f>'Figure 6 Headroom by facility'!$A$3:$A$311</c:f>
              <c:strCache>
                <c:ptCount val="309"/>
                <c:pt idx="0">
                  <c:v>1. Solid Waste Services - MRL</c:v>
                </c:pt>
                <c:pt idx="1">
                  <c:v>Abel Underground Coal Mine</c:v>
                </c:pt>
                <c:pt idx="2">
                  <c:v>AER Rail Freight QLD</c:v>
                </c:pt>
                <c:pt idx="3">
                  <c:v>Angaston Operations</c:v>
                </c:pt>
                <c:pt idx="4">
                  <c:v>APLNG Facility</c:v>
                </c:pt>
                <c:pt idx="5">
                  <c:v>APN01 Appin Colliery - ICH Facility</c:v>
                </c:pt>
                <c:pt idx="6">
                  <c:v>APU01 Pyrenees - AOA Facility</c:v>
                </c:pt>
                <c:pt idx="7">
                  <c:v>ARC01 Mining Area C - MNG Facility</c:v>
                </c:pt>
                <c:pt idx="8">
                  <c:v>Arcadia</c:v>
                </c:pt>
                <c:pt idx="9">
                  <c:v>Ashton Coal Mine (Underground)</c:v>
                </c:pt>
                <c:pt idx="10">
                  <c:v>ATCO Gas Australia Pty Ltd</c:v>
                </c:pt>
                <c:pt idx="11">
                  <c:v>Aurizon Rail Freight NSW</c:v>
                </c:pt>
                <c:pt idx="12">
                  <c:v>Aurizon Rail Freight QLD</c:v>
                </c:pt>
                <c:pt idx="13">
                  <c:v>Aurizon Rail Freight WA</c:v>
                </c:pt>
                <c:pt idx="14">
                  <c:v>AusNet Gas Services Pty Ltd</c:v>
                </c:pt>
                <c:pt idx="15">
                  <c:v>Austar Coal Mine (Underground)</c:v>
                </c:pt>
                <c:pt idx="16">
                  <c:v>Australian Gas Networks (SA) Ltd</c:v>
                </c:pt>
                <c:pt idx="17">
                  <c:v>Australian Gas Networks (Vic) Pty Ltd</c:v>
                </c:pt>
                <c:pt idx="18">
                  <c:v>AWR Rail Freight WA</c:v>
                </c:pt>
                <c:pt idx="19">
                  <c:v>Ballera</c:v>
                </c:pt>
                <c:pt idx="20">
                  <c:v>Baralaba Coal Mine</c:v>
                </c:pt>
                <c:pt idx="21">
                  <c:v>Basker Manta Gummy</c:v>
                </c:pt>
                <c:pt idx="22">
                  <c:v>Batchfire Resources No.1</c:v>
                </c:pt>
                <c:pt idx="23">
                  <c:v>Bell Bay Smelter</c:v>
                </c:pt>
                <c:pt idx="24">
                  <c:v>Beltana / Blakefield South</c:v>
                </c:pt>
                <c:pt idx="25">
                  <c:v>Bengalla Operations</c:v>
                </c:pt>
                <c:pt idx="26">
                  <c:v>Big Lake Gas</c:v>
                </c:pt>
                <c:pt idx="27">
                  <c:v>Birkenhead Operations</c:v>
                </c:pt>
                <c:pt idx="28">
                  <c:v>Blackwater Mine</c:v>
                </c:pt>
                <c:pt idx="29">
                  <c:v>Blair Athol Mine</c:v>
                </c:pt>
                <c:pt idx="30">
                  <c:v>Boggabri Coal Minesite</c:v>
                </c:pt>
                <c:pt idx="31">
                  <c:v>Boyne Smelters Limited</c:v>
                </c:pt>
                <c:pt idx="32">
                  <c:v>Brockman 2 / Nammuldi Mines</c:v>
                </c:pt>
                <c:pt idx="33">
                  <c:v>Brockman 4 Mine</c:v>
                </c:pt>
                <c:pt idx="34">
                  <c:v>Bulga Coal Complex</c:v>
                </c:pt>
                <c:pt idx="35">
                  <c:v>Bulga Opencut</c:v>
                </c:pt>
                <c:pt idx="36">
                  <c:v>Burton Mine</c:v>
                </c:pt>
                <c:pt idx="37">
                  <c:v>Byerwen Mine</c:v>
                </c:pt>
                <c:pt idx="38">
                  <c:v>Cadia Valley Operations</c:v>
                </c:pt>
                <c:pt idx="39">
                  <c:v>CAN01</c:v>
                </c:pt>
                <c:pt idx="40">
                  <c:v>Capcoal Mine</c:v>
                </c:pt>
                <c:pt idx="41">
                  <c:v>Cape Lambert Port Operations</c:v>
                </c:pt>
                <c:pt idx="42">
                  <c:v>Carborough Downs coal mine</c:v>
                </c:pt>
                <c:pt idx="43">
                  <c:v>Carmichael Coal Mine</c:v>
                </c:pt>
                <c:pt idx="44">
                  <c:v>Carosue Dam</c:v>
                </c:pt>
                <c:pt idx="45">
                  <c:v>Caval Ridge Mine</c:v>
                </c:pt>
                <c:pt idx="46">
                  <c:v>CEM NSW Berrima</c:v>
                </c:pt>
                <c:pt idx="47">
                  <c:v>CEM NSW Maldon</c:v>
                </c:pt>
                <c:pt idx="48">
                  <c:v>CEM NSW Marulan</c:v>
                </c:pt>
                <c:pt idx="49">
                  <c:v>CEM VIC Waurn Ponds</c:v>
                </c:pt>
                <c:pt idx="50">
                  <c:v>Central Mine</c:v>
                </c:pt>
                <c:pt idx="51">
                  <c:v>Chain Valley Colliery</c:v>
                </c:pt>
                <c:pt idx="52">
                  <c:v>Chandala Processing Plant</c:v>
                </c:pt>
                <c:pt idx="53">
                  <c:v>Charbon Lime Manufacturing Plant</c:v>
                </c:pt>
                <c:pt idx="54">
                  <c:v>Christmas Creek Mine</c:v>
                </c:pt>
                <c:pt idx="55">
                  <c:v>Clermont Coal Operations</c:v>
                </c:pt>
                <c:pt idx="56">
                  <c:v>Cloudbreak Mine</c:v>
                </c:pt>
                <c:pt idx="57">
                  <c:v>Clyde Terminal</c:v>
                </c:pt>
                <c:pt idx="58">
                  <c:v>Cockburn Operations</c:v>
                </c:pt>
                <c:pt idx="59">
                  <c:v>Collinsville Mine</c:v>
                </c:pt>
                <c:pt idx="60">
                  <c:v>Condabri</c:v>
                </c:pt>
                <c:pt idx="61">
                  <c:v>Cook Colliery</c:v>
                </c:pt>
                <c:pt idx="62">
                  <c:v>Coppabella Coal Mine</c:v>
                </c:pt>
                <c:pt idx="63">
                  <c:v>CSBP Kwinana Facility</c:v>
                </c:pt>
                <c:pt idx="64">
                  <c:v>Curragh Mine</c:v>
                </c:pt>
                <c:pt idx="65">
                  <c:v>Curtis Island GLNG Plant</c:v>
                </c:pt>
                <c:pt idx="66">
                  <c:v>Daandine Operations</c:v>
                </c:pt>
                <c:pt idx="67">
                  <c:v>Dandenong</c:v>
                </c:pt>
                <c:pt idx="68">
                  <c:v>Dartbrook Coal Mine</c:v>
                </c:pt>
                <c:pt idx="69">
                  <c:v>Darwin LNG Plant</c:v>
                </c:pt>
                <c:pt idx="70">
                  <c:v>Daunia Mine</c:v>
                </c:pt>
                <c:pt idx="71">
                  <c:v>Dawson Mine</c:v>
                </c:pt>
                <c:pt idx="72">
                  <c:v>DBNGP</c:v>
                </c:pt>
                <c:pt idx="73">
                  <c:v>DEN01</c:v>
                </c:pt>
                <c:pt idx="74">
                  <c:v>Dongara Operations</c:v>
                </c:pt>
                <c:pt idx="75">
                  <c:v>Drake Mine</c:v>
                </c:pt>
                <c:pt idx="76">
                  <c:v>Drayton Mine</c:v>
                </c:pt>
                <c:pt idx="77">
                  <c:v>Duketon South Operations</c:v>
                </c:pt>
                <c:pt idx="78">
                  <c:v>Duralie Open Cut Mine</c:v>
                </c:pt>
                <c:pt idx="79">
                  <c:v>Eastern Creek Landfill (combined)</c:v>
                </c:pt>
                <c:pt idx="80">
                  <c:v>Eastern Gas Pipeline</c:v>
                </c:pt>
                <c:pt idx="81">
                  <c:v>Eastern Ridge Mine</c:v>
                </c:pt>
                <c:pt idx="82">
                  <c:v>Eliwana Mine</c:v>
                </c:pt>
                <c:pt idx="83">
                  <c:v>Elizabeth Drive Landfill</c:v>
                </c:pt>
                <c:pt idx="84">
                  <c:v>Enfield Project Venture</c:v>
                </c:pt>
                <c:pt idx="85">
                  <c:v>Ensham Resources Minesite</c:v>
                </c:pt>
                <c:pt idx="86">
                  <c:v>Ergon Energy Network Facility</c:v>
                </c:pt>
                <c:pt idx="87">
                  <c:v>Ernest Henry Mining Operations</c:v>
                </c:pt>
                <c:pt idx="88">
                  <c:v>Erskine Park Landfill</c:v>
                </c:pt>
                <c:pt idx="89">
                  <c:v>Facility WA CTC</c:v>
                </c:pt>
                <c:pt idx="90">
                  <c:v>Fairview</c:v>
                </c:pt>
                <c:pt idx="91">
                  <c:v>Farstad Shipping Offshore Operations Western Australia</c:v>
                </c:pt>
                <c:pt idx="92">
                  <c:v>Fimiston</c:v>
                </c:pt>
                <c:pt idx="93">
                  <c:v>Fisherman's Landing</c:v>
                </c:pt>
                <c:pt idx="94">
                  <c:v>FLNG</c:v>
                </c:pt>
                <c:pt idx="95">
                  <c:v>Fortescue Rail</c:v>
                </c:pt>
                <c:pt idx="96">
                  <c:v>Foxleigh Mine</c:v>
                </c:pt>
                <c:pt idx="97">
                  <c:v>Geelong Refinery</c:v>
                </c:pt>
                <c:pt idx="98">
                  <c:v>GEM01</c:v>
                </c:pt>
                <c:pt idx="99">
                  <c:v>Gibson Island</c:v>
                </c:pt>
                <c:pt idx="100">
                  <c:v>Gidgealpa Gas</c:v>
                </c:pt>
                <c:pt idx="101">
                  <c:v>Gippsland Basin facility</c:v>
                </c:pt>
                <c:pt idx="102">
                  <c:v>Glendell Mine</c:v>
                </c:pt>
                <c:pt idx="103">
                  <c:v>Goldfields Gas Transmission Pipeline</c:v>
                </c:pt>
                <c:pt idx="104">
                  <c:v>Goonyella Broadmeadow Mine</c:v>
                </c:pt>
                <c:pt idx="105">
                  <c:v>Gorgon Downstream</c:v>
                </c:pt>
                <c:pt idx="106">
                  <c:v>Gorgon Operations</c:v>
                </c:pt>
                <c:pt idx="107">
                  <c:v>Gorgon Upstream</c:v>
                </c:pt>
                <c:pt idx="108">
                  <c:v>Gove Operations</c:v>
                </c:pt>
                <c:pt idx="109">
                  <c:v>Granny Smith Mine Site</c:v>
                </c:pt>
                <c:pt idx="110">
                  <c:v>Griffin Coal Mine</c:v>
                </c:pt>
                <c:pt idx="111">
                  <c:v>Grosvenor Mine</c:v>
                </c:pt>
                <c:pt idx="112">
                  <c:v>Gruyere Mine Site</c:v>
                </c:pt>
                <c:pt idx="113">
                  <c:v>Hail Creek Mine</c:v>
                </c:pt>
                <c:pt idx="114">
                  <c:v>Hallam Road Landfill</c:v>
                </c:pt>
                <c:pt idx="115">
                  <c:v>Hope Downs 1 Mine</c:v>
                </c:pt>
                <c:pt idx="116">
                  <c:v>Hope Downs 4 Mine</c:v>
                </c:pt>
                <c:pt idx="117">
                  <c:v>Hunter Valley Operations mine</c:v>
                </c:pt>
                <c:pt idx="118">
                  <c:v>Huntly Mine</c:v>
                </c:pt>
                <c:pt idx="119">
                  <c:v>HVY01 Hunter Valley Energy Coal - CCL Facility</c:v>
                </c:pt>
                <c:pt idx="120">
                  <c:v>Integra Underground Mine</c:v>
                </c:pt>
                <c:pt idx="121">
                  <c:v>Isaac Plains Coal Mine</c:v>
                </c:pt>
                <c:pt idx="122">
                  <c:v>Jellinbah Mine</c:v>
                </c:pt>
                <c:pt idx="123">
                  <c:v>JGN</c:v>
                </c:pt>
                <c:pt idx="124">
                  <c:v>Jimblebar Mine</c:v>
                </c:pt>
                <c:pt idx="125">
                  <c:v>Jundee Gold Mine</c:v>
                </c:pt>
                <c:pt idx="126">
                  <c:v>Kemerton Silicon Smelter</c:v>
                </c:pt>
                <c:pt idx="127">
                  <c:v>Kestrel Mine</c:v>
                </c:pt>
                <c:pt idx="128">
                  <c:v>Koolyanobbing/Windarling Operations</c:v>
                </c:pt>
                <c:pt idx="129">
                  <c:v>Kooragang Island</c:v>
                </c:pt>
                <c:pt idx="130">
                  <c:v>Kwinana Alumina Refinery</c:v>
                </c:pt>
                <c:pt idx="131">
                  <c:v>Kwinana Pigment Plant</c:v>
                </c:pt>
                <c:pt idx="132">
                  <c:v>Kwinana Refinery</c:v>
                </c:pt>
                <c:pt idx="133">
                  <c:v>Lake Vermont Mine</c:v>
                </c:pt>
                <c:pt idx="134">
                  <c:v>Lang Lang</c:v>
                </c:pt>
                <c:pt idx="135">
                  <c:v>Lawn Hill Mine</c:v>
                </c:pt>
                <c:pt idx="136">
                  <c:v>Leonora Operations</c:v>
                </c:pt>
                <c:pt idx="137">
                  <c:v>Liberty OneSteel Laverton Steel Mill</c:v>
                </c:pt>
                <c:pt idx="138">
                  <c:v>Liberty Primary Steel Whyalla Steelworks</c:v>
                </c:pt>
                <c:pt idx="139">
                  <c:v>Liberty Steel Laverton Steel Mill</c:v>
                </c:pt>
                <c:pt idx="140">
                  <c:v>Liddell Coal Mine</c:v>
                </c:pt>
                <c:pt idx="141">
                  <c:v>LNG Pipeline</c:v>
                </c:pt>
                <c:pt idx="142">
                  <c:v>Mandalong Mine</c:v>
                </c:pt>
                <c:pt idx="143">
                  <c:v>Mangoola</c:v>
                </c:pt>
                <c:pt idx="144">
                  <c:v>Mannering Colliery</c:v>
                </c:pt>
                <c:pt idx="145">
                  <c:v>Marandoo Mine</c:v>
                </c:pt>
                <c:pt idx="146">
                  <c:v>Maules Creek Open Cut Mine</c:v>
                </c:pt>
                <c:pt idx="147">
                  <c:v>McArthur River Mining Operations</c:v>
                </c:pt>
                <c:pt idx="148">
                  <c:v>Meandu Coal Mine</c:v>
                </c:pt>
                <c:pt idx="149">
                  <c:v>Mesa A Mine</c:v>
                </c:pt>
                <c:pt idx="150">
                  <c:v>Metropolitan Colliery</c:v>
                </c:pt>
                <c:pt idx="151">
                  <c:v>Middlemount Coal Mine</c:v>
                </c:pt>
                <c:pt idx="152">
                  <c:v>Millennium Coal Mine</c:v>
                </c:pt>
                <c:pt idx="153">
                  <c:v>Millicent Mill</c:v>
                </c:pt>
                <c:pt idx="154">
                  <c:v>Mobil Altona Refinery</c:v>
                </c:pt>
                <c:pt idx="155">
                  <c:v>Montara Operations</c:v>
                </c:pt>
                <c:pt idx="156">
                  <c:v>Moolarben Coal Mine (Open Cut &amp; Underground)</c:v>
                </c:pt>
                <c:pt idx="157">
                  <c:v>Moomba Plant</c:v>
                </c:pt>
                <c:pt idx="158">
                  <c:v>Moomba South Central Gas</c:v>
                </c:pt>
                <c:pt idx="159">
                  <c:v>Moorvale Coal Mine</c:v>
                </c:pt>
                <c:pt idx="160">
                  <c:v>Moranbah</c:v>
                </c:pt>
                <c:pt idx="161">
                  <c:v>Moranbah North Mine</c:v>
                </c:pt>
                <c:pt idx="162">
                  <c:v>Mount Isa Mines Copper and Zinc Operations</c:v>
                </c:pt>
                <c:pt idx="163">
                  <c:v>Mount Pleasant Operations</c:v>
                </c:pt>
                <c:pt idx="164">
                  <c:v>Mount Thorley Operations</c:v>
                </c:pt>
                <c:pt idx="165">
                  <c:v>Mt Owen Coal Mine</c:v>
                </c:pt>
                <c:pt idx="166">
                  <c:v>Mt Owen Glendell Complex</c:v>
                </c:pt>
                <c:pt idx="167">
                  <c:v>Multinet Principal Distribution Network and South Gippsland Pipeline</c:v>
                </c:pt>
                <c:pt idx="168">
                  <c:v>Murrin Murrin Operations</c:v>
                </c:pt>
                <c:pt idx="169">
                  <c:v>Myuna Colliery</c:v>
                </c:pt>
                <c:pt idx="170">
                  <c:v>Narngulu Synthetic Rutile Processing Operations</c:v>
                </c:pt>
                <c:pt idx="171">
                  <c:v>Narrabri Underground Mine</c:v>
                </c:pt>
                <c:pt idx="172">
                  <c:v>New Acland Mine</c:v>
                </c:pt>
                <c:pt idx="173">
                  <c:v>New Chum Landfill</c:v>
                </c:pt>
                <c:pt idx="174">
                  <c:v>New Illawarra Road Landfill</c:v>
                </c:pt>
                <c:pt idx="175">
                  <c:v>Newlands Coal Complex including Newlands Northern UG</c:v>
                </c:pt>
                <c:pt idx="176">
                  <c:v>Newman Operations</c:v>
                </c:pt>
                <c:pt idx="177">
                  <c:v>Newmont Boddington Gold Operation</c:v>
                </c:pt>
                <c:pt idx="178">
                  <c:v>Newmont Tanami Operation</c:v>
                </c:pt>
                <c:pt idx="179">
                  <c:v>Newstan Colliery</c:v>
                </c:pt>
                <c:pt idx="180">
                  <c:v>NGP</c:v>
                </c:pt>
                <c:pt idx="181">
                  <c:v>Ningaloo Vision FPSO</c:v>
                </c:pt>
                <c:pt idx="182">
                  <c:v>NKS01 Nickel West Kalgoorlie Facility</c:v>
                </c:pt>
                <c:pt idx="183">
                  <c:v>NKW01 Nickel West Kwinana Facility</c:v>
                </c:pt>
                <c:pt idx="184">
                  <c:v>NMK01 Nickel West Mt Keith Facility</c:v>
                </c:pt>
                <c:pt idx="185">
                  <c:v>Norske Skog Boyer Mill</c:v>
                </c:pt>
                <c:pt idx="186">
                  <c:v>North Goonyella Coal Mine</c:v>
                </c:pt>
                <c:pt idx="187">
                  <c:v>North West Shelf Project</c:v>
                </c:pt>
                <c:pt idx="188">
                  <c:v>Northern Endeavour FPSO</c:v>
                </c:pt>
                <c:pt idx="189">
                  <c:v>Norwich Park Mine</c:v>
                </c:pt>
                <c:pt idx="190">
                  <c:v>Nowra Plant</c:v>
                </c:pt>
                <c:pt idx="191">
                  <c:v>Nyrstar Port Pirie Facility</c:v>
                </c:pt>
                <c:pt idx="192">
                  <c:v>Nyrstar Port Pirie Smelter</c:v>
                </c:pt>
                <c:pt idx="193">
                  <c:v>O-I Melbourne Plant</c:v>
                </c:pt>
                <c:pt idx="194">
                  <c:v>Oaky Creek Coal Complex</c:v>
                </c:pt>
                <c:pt idx="195">
                  <c:v>ODS01 Olympic Dam - UOD Facility</c:v>
                </c:pt>
                <c:pt idx="196">
                  <c:v>OI Adelaide Plant</c:v>
                </c:pt>
                <c:pt idx="197">
                  <c:v>OI Sydney Plant</c:v>
                </c:pt>
                <c:pt idx="198">
                  <c:v>Opal Australian Paper Maryvale Mill</c:v>
                </c:pt>
                <c:pt idx="199">
                  <c:v>Orora Glass Plant Gawler</c:v>
                </c:pt>
                <c:pt idx="200">
                  <c:v>Otway</c:v>
                </c:pt>
                <c:pt idx="201">
                  <c:v>Palmer Nickel and Cobalt Refinery</c:v>
                </c:pt>
                <c:pt idx="202">
                  <c:v>Paraburdoo Mine</c:v>
                </c:pt>
                <c:pt idx="203">
                  <c:v>Parkhurst Magnesia Manufacturing Plant</c:v>
                </c:pt>
                <c:pt idx="204">
                  <c:v>Peak Downs Mine</c:v>
                </c:pt>
                <c:pt idx="205">
                  <c:v>Peat</c:v>
                </c:pt>
                <c:pt idx="206">
                  <c:v>Phosphate Hill</c:v>
                </c:pt>
                <c:pt idx="207">
                  <c:v>Pilbara Rail Operations</c:v>
                </c:pt>
                <c:pt idx="208">
                  <c:v>Pinjarra Alumina Refinery</c:v>
                </c:pt>
                <c:pt idx="209">
                  <c:v>Pluto LNG</c:v>
                </c:pt>
                <c:pt idx="210">
                  <c:v>Point Henry Aluminium Smelter</c:v>
                </c:pt>
                <c:pt idx="211">
                  <c:v>Poitrel Mine</c:v>
                </c:pt>
                <c:pt idx="212">
                  <c:v>Port Bonython Plant</c:v>
                </c:pt>
                <c:pt idx="213">
                  <c:v>Port Kembla Steelworks</c:v>
                </c:pt>
                <c:pt idx="214">
                  <c:v>Port Latta Pelletising Plant</c:v>
                </c:pt>
                <c:pt idx="215">
                  <c:v>Portland Aluminium Smelter</c:v>
                </c:pt>
                <c:pt idx="216">
                  <c:v>Premier Coal Mine</c:v>
                </c:pt>
                <c:pt idx="217">
                  <c:v>PRL03 Rail - IOR Facility</c:v>
                </c:pt>
                <c:pt idx="218">
                  <c:v>Prominent Hill Mine</c:v>
                </c:pt>
                <c:pt idx="219">
                  <c:v>Qantas Airways Limited National Transport Facility</c:v>
                </c:pt>
                <c:pt idx="220">
                  <c:v>Qenos Altona Manufacturing</c:v>
                </c:pt>
                <c:pt idx="221">
                  <c:v>Qenos Botany Manufacturing</c:v>
                </c:pt>
                <c:pt idx="222">
                  <c:v>QGC Upstream</c:v>
                </c:pt>
                <c:pt idx="223">
                  <c:v>QGC Upstream</c:v>
                </c:pt>
                <c:pt idx="224">
                  <c:v>QLD - Ti Tree Bioreactor</c:v>
                </c:pt>
                <c:pt idx="225">
                  <c:v>QLD - Wattle Glen Landfill</c:v>
                </c:pt>
                <c:pt idx="226">
                  <c:v>Queensland</c:v>
                </c:pt>
                <c:pt idx="227">
                  <c:v>Queensland Alumina Limited Refinery</c:v>
                </c:pt>
                <c:pt idx="228">
                  <c:v>Queensland Curtis LNG Plant</c:v>
                </c:pt>
                <c:pt idx="229">
                  <c:v>Queensland Nitrates Ammonium Nitrate Plant</c:v>
                </c:pt>
                <c:pt idx="230">
                  <c:v>Railton</c:v>
                </c:pt>
                <c:pt idx="231">
                  <c:v>Ranger Mine</c:v>
                </c:pt>
                <c:pt idx="232">
                  <c:v>Ravensthorpe Nickel Operation</c:v>
                </c:pt>
                <c:pt idx="233">
                  <c:v>Ravensworth Operations</c:v>
                </c:pt>
                <c:pt idx="234">
                  <c:v>Ravensworth Underground Coal Mine</c:v>
                </c:pt>
                <c:pt idx="235">
                  <c:v>Red Hill Waste Management Facility</c:v>
                </c:pt>
                <c:pt idx="236">
                  <c:v>Reedy Creek &amp; Combabula</c:v>
                </c:pt>
                <c:pt idx="237">
                  <c:v>Refinery Qld Lytton</c:v>
                </c:pt>
                <c:pt idx="238">
                  <c:v>Rio Tinto Marine - Qld</c:v>
                </c:pt>
                <c:pt idx="239">
                  <c:v>Rio Tinto Weipa</c:v>
                </c:pt>
                <c:pt idx="240">
                  <c:v>Rio Tinto Yarwun</c:v>
                </c:pt>
                <c:pt idx="241">
                  <c:v>Rix's Creek Pty Limited</c:v>
                </c:pt>
                <c:pt idx="242">
                  <c:v>Rochedale landfill facility</c:v>
                </c:pt>
                <c:pt idx="243">
                  <c:v>Rolleston Coal Mine</c:v>
                </c:pt>
                <c:pt idx="244">
                  <c:v>Roma Hub</c:v>
                </c:pt>
                <c:pt idx="245">
                  <c:v>Roy Hill Mine</c:v>
                </c:pt>
                <c:pt idx="246">
                  <c:v>Russell Vale Colliery</c:v>
                </c:pt>
                <c:pt idx="247">
                  <c:v>SA - IWS Landfill</c:v>
                </c:pt>
                <c:pt idx="248">
                  <c:v>Saraji Mine</c:v>
                </c:pt>
                <c:pt idx="249">
                  <c:v>Savage River Mine</c:v>
                </c:pt>
                <c:pt idx="250">
                  <c:v>Sewerage East</c:v>
                </c:pt>
                <c:pt idx="251">
                  <c:v>Sewerage West</c:v>
                </c:pt>
                <c:pt idx="252">
                  <c:v>SIMEC Mining - Middleback Range Iron Ore Mine (Whyalla)</c:v>
                </c:pt>
                <c:pt idx="253">
                  <c:v>SIMEC Mining - Tahmoor Coal Mine</c:v>
                </c:pt>
                <c:pt idx="254">
                  <c:v>Sino Iron Project - Cape Preston</c:v>
                </c:pt>
                <c:pt idx="255">
                  <c:v>Sojitz Minerva Coal Mine</c:v>
                </c:pt>
                <c:pt idx="256">
                  <c:v>Solomon Mine</c:v>
                </c:pt>
                <c:pt idx="257">
                  <c:v>Sonoma Mine</c:v>
                </c:pt>
                <c:pt idx="258">
                  <c:v>South Denison</c:v>
                </c:pt>
                <c:pt idx="259">
                  <c:v>South Walker Creek</c:v>
                </c:pt>
                <c:pt idx="260">
                  <c:v>South West Queensland Pipeline</c:v>
                </c:pt>
                <c:pt idx="261">
                  <c:v>South West Synthetic Rutile Operations</c:v>
                </c:pt>
                <c:pt idx="262">
                  <c:v>Spring Gully</c:v>
                </c:pt>
                <c:pt idx="263">
                  <c:v>Start up and Operations of the Ichthys LNG Project</c:v>
                </c:pt>
                <c:pt idx="264">
                  <c:v>State Transit Bus Operations</c:v>
                </c:pt>
                <c:pt idx="265">
                  <c:v>Sunrise Dam</c:v>
                </c:pt>
                <c:pt idx="266">
                  <c:v>Swanbank Landfill</c:v>
                </c:pt>
                <c:pt idx="267">
                  <c:v>Talinga</c:v>
                </c:pt>
                <c:pt idx="268">
                  <c:v>Tarrawonga Open-Cut Mine</c:v>
                </c:pt>
                <c:pt idx="269">
                  <c:v>Telfer Gold Mine</c:v>
                </c:pt>
                <c:pt idx="270">
                  <c:v>TEM01</c:v>
                </c:pt>
                <c:pt idx="271">
                  <c:v>The Maddingley Mine Trust</c:v>
                </c:pt>
                <c:pt idx="272">
                  <c:v>Thunderbox</c:v>
                </c:pt>
                <c:pt idx="273">
                  <c:v>Tipton Operations</c:v>
                </c:pt>
                <c:pt idx="274">
                  <c:v>Toll National Transport Facility</c:v>
                </c:pt>
                <c:pt idx="275">
                  <c:v>Tom Price Mine / WTS</c:v>
                </c:pt>
                <c:pt idx="276">
                  <c:v>Tomago Aluminium Smelter</c:v>
                </c:pt>
                <c:pt idx="277">
                  <c:v>Tropicana Gold Mine</c:v>
                </c:pt>
                <c:pt idx="278">
                  <c:v>TT-Line - Victorian Operation</c:v>
                </c:pt>
                <c:pt idx="279">
                  <c:v>Ulan Coal Mine</c:v>
                </c:pt>
                <c:pt idx="280">
                  <c:v>United Coal Mine</c:v>
                </c:pt>
                <c:pt idx="281">
                  <c:v>V/Line</c:v>
                </c:pt>
                <c:pt idx="282">
                  <c:v>Varanus Hub</c:v>
                </c:pt>
                <c:pt idx="283">
                  <c:v>Victoria</c:v>
                </c:pt>
                <c:pt idx="284">
                  <c:v>Victory Road Landfill</c:v>
                </c:pt>
                <c:pt idx="285">
                  <c:v>Vincent Project Venture</c:v>
                </c:pt>
                <c:pt idx="286">
                  <c:v>Virgin Australia Holdings National Transport Facility</c:v>
                </c:pt>
                <c:pt idx="287">
                  <c:v>Visy Paper 8 - Gibson Island</c:v>
                </c:pt>
                <c:pt idx="288">
                  <c:v>WA Oil - Barrow Island</c:v>
                </c:pt>
                <c:pt idx="289">
                  <c:v>Wagerup Alumina Refinery</c:v>
                </c:pt>
                <c:pt idx="290">
                  <c:v>Wambo Coal Mine</c:v>
                </c:pt>
                <c:pt idx="291">
                  <c:v>Warkworth Mine</c:v>
                </c:pt>
                <c:pt idx="292">
                  <c:v>Werris Creek Open-Cut Mine</c:v>
                </c:pt>
                <c:pt idx="293">
                  <c:v>West Angelas Mine</c:v>
                </c:pt>
                <c:pt idx="294">
                  <c:v>West Wallsend Coal Mine</c:v>
                </c:pt>
                <c:pt idx="295">
                  <c:v>Western Australia</c:v>
                </c:pt>
                <c:pt idx="296">
                  <c:v>Western Port Works</c:v>
                </c:pt>
                <c:pt idx="297">
                  <c:v>Wheatstone Operations</c:v>
                </c:pt>
                <c:pt idx="298">
                  <c:v>Wheatstone Project LNG Plant and Associated Facilities</c:v>
                </c:pt>
                <c:pt idx="299">
                  <c:v>Wilkie Creek Coal Mine</c:v>
                </c:pt>
                <c:pt idx="300">
                  <c:v>Wilpinjong Coal Mine</c:v>
                </c:pt>
                <c:pt idx="301">
                  <c:v>Wongawilli mine</c:v>
                </c:pt>
                <c:pt idx="302">
                  <c:v>Woodlawn Bioreactor</c:v>
                </c:pt>
                <c:pt idx="303">
                  <c:v>WOR01 Worsley Alumina Refinery/Mine</c:v>
                </c:pt>
                <c:pt idx="304">
                  <c:v>YAN01 Yandi/Marillana Creek Mine - MNG Facility</c:v>
                </c:pt>
                <c:pt idx="305">
                  <c:v>Yandicoogina Mine</c:v>
                </c:pt>
                <c:pt idx="306">
                  <c:v>Yarrabee Coal Mine (Open Cut)</c:v>
                </c:pt>
                <c:pt idx="307">
                  <c:v>Yarwun Nitrates</c:v>
                </c:pt>
                <c:pt idx="308">
                  <c:v>YPF Ammonia Plant</c:v>
                </c:pt>
              </c:strCache>
            </c:strRef>
          </c:cat>
          <c:val>
            <c:numRef>
              <c:f>'Figure 6 Headroom by facility'!$E$3:$E$311</c:f>
              <c:numCache>
                <c:formatCode>#,##0</c:formatCode>
                <c:ptCount val="309"/>
                <c:pt idx="0">
                  <c:v>100477</c:v>
                </c:pt>
                <c:pt idx="1">
                  <c:v>148286</c:v>
                </c:pt>
                <c:pt idx="2">
                  <c:v>141051</c:v>
                </c:pt>
                <c:pt idx="3">
                  <c:v>246443</c:v>
                </c:pt>
                <c:pt idx="4">
                  <c:v>537663</c:v>
                </c:pt>
                <c:pt idx="5">
                  <c:v>1793197</c:v>
                </c:pt>
                <c:pt idx="6">
                  <c:v>315572</c:v>
                </c:pt>
                <c:pt idx="7">
                  <c:v>25073</c:v>
                </c:pt>
                <c:pt idx="8">
                  <c:v>0</c:v>
                </c:pt>
                <c:pt idx="9">
                  <c:v>304594</c:v>
                </c:pt>
                <c:pt idx="10">
                  <c:v>51730</c:v>
                </c:pt>
                <c:pt idx="11">
                  <c:v>46883</c:v>
                </c:pt>
                <c:pt idx="12">
                  <c:v>258357</c:v>
                </c:pt>
                <c:pt idx="13">
                  <c:v>96659</c:v>
                </c:pt>
                <c:pt idx="14">
                  <c:v>5528</c:v>
                </c:pt>
                <c:pt idx="15">
                  <c:v>211460</c:v>
                </c:pt>
                <c:pt idx="16">
                  <c:v>89205</c:v>
                </c:pt>
                <c:pt idx="17">
                  <c:v>56489</c:v>
                </c:pt>
                <c:pt idx="18">
                  <c:v>0</c:v>
                </c:pt>
                <c:pt idx="19">
                  <c:v>270310</c:v>
                </c:pt>
                <c:pt idx="20">
                  <c:v>0</c:v>
                </c:pt>
                <c:pt idx="21">
                  <c:v>130007</c:v>
                </c:pt>
                <c:pt idx="22">
                  <c:v>84142</c:v>
                </c:pt>
                <c:pt idx="23">
                  <c:v>1231</c:v>
                </c:pt>
                <c:pt idx="24">
                  <c:v>3314944</c:v>
                </c:pt>
                <c:pt idx="25">
                  <c:v>-41909</c:v>
                </c:pt>
                <c:pt idx="26">
                  <c:v>140474</c:v>
                </c:pt>
                <c:pt idx="27">
                  <c:v>92180</c:v>
                </c:pt>
                <c:pt idx="28">
                  <c:v>176034</c:v>
                </c:pt>
                <c:pt idx="29">
                  <c:v>229743</c:v>
                </c:pt>
                <c:pt idx="30">
                  <c:v>49719</c:v>
                </c:pt>
                <c:pt idx="31">
                  <c:v>14110</c:v>
                </c:pt>
                <c:pt idx="32">
                  <c:v>48598</c:v>
                </c:pt>
                <c:pt idx="33">
                  <c:v>-7820</c:v>
                </c:pt>
                <c:pt idx="34">
                  <c:v>2352334</c:v>
                </c:pt>
                <c:pt idx="35">
                  <c:v>0</c:v>
                </c:pt>
                <c:pt idx="36">
                  <c:v>226806</c:v>
                </c:pt>
                <c:pt idx="37">
                  <c:v>132488</c:v>
                </c:pt>
                <c:pt idx="38">
                  <c:v>112476</c:v>
                </c:pt>
                <c:pt idx="39">
                  <c:v>13617</c:v>
                </c:pt>
                <c:pt idx="40">
                  <c:v>-509691</c:v>
                </c:pt>
                <c:pt idx="41">
                  <c:v>109955</c:v>
                </c:pt>
                <c:pt idx="42">
                  <c:v>113654</c:v>
                </c:pt>
                <c:pt idx="43">
                  <c:v>0</c:v>
                </c:pt>
                <c:pt idx="44">
                  <c:v>0</c:v>
                </c:pt>
                <c:pt idx="45">
                  <c:v>3775</c:v>
                </c:pt>
                <c:pt idx="46">
                  <c:v>218625</c:v>
                </c:pt>
                <c:pt idx="47">
                  <c:v>100000</c:v>
                </c:pt>
                <c:pt idx="48">
                  <c:v>17378</c:v>
                </c:pt>
                <c:pt idx="49">
                  <c:v>100000</c:v>
                </c:pt>
                <c:pt idx="50">
                  <c:v>100000</c:v>
                </c:pt>
                <c:pt idx="51">
                  <c:v>187928</c:v>
                </c:pt>
                <c:pt idx="52">
                  <c:v>102487</c:v>
                </c:pt>
                <c:pt idx="53">
                  <c:v>102296</c:v>
                </c:pt>
                <c:pt idx="54">
                  <c:v>9562</c:v>
                </c:pt>
                <c:pt idx="55">
                  <c:v>59366</c:v>
                </c:pt>
                <c:pt idx="56">
                  <c:v>84345</c:v>
                </c:pt>
                <c:pt idx="57">
                  <c:v>100000</c:v>
                </c:pt>
                <c:pt idx="58">
                  <c:v>860168</c:v>
                </c:pt>
                <c:pt idx="59">
                  <c:v>23453</c:v>
                </c:pt>
                <c:pt idx="60">
                  <c:v>278185</c:v>
                </c:pt>
                <c:pt idx="61">
                  <c:v>215233</c:v>
                </c:pt>
                <c:pt idx="62">
                  <c:v>35813</c:v>
                </c:pt>
                <c:pt idx="63">
                  <c:v>519068</c:v>
                </c:pt>
                <c:pt idx="64">
                  <c:v>-7937</c:v>
                </c:pt>
                <c:pt idx="65">
                  <c:v>294493</c:v>
                </c:pt>
                <c:pt idx="66">
                  <c:v>17300</c:v>
                </c:pt>
                <c:pt idx="67">
                  <c:v>17377</c:v>
                </c:pt>
                <c:pt idx="68">
                  <c:v>7048</c:v>
                </c:pt>
                <c:pt idx="69">
                  <c:v>403678</c:v>
                </c:pt>
                <c:pt idx="70">
                  <c:v>63220</c:v>
                </c:pt>
                <c:pt idx="71">
                  <c:v>-22559</c:v>
                </c:pt>
                <c:pt idx="72">
                  <c:v>90904</c:v>
                </c:pt>
                <c:pt idx="73">
                  <c:v>259020</c:v>
                </c:pt>
                <c:pt idx="74">
                  <c:v>-6430</c:v>
                </c:pt>
                <c:pt idx="75">
                  <c:v>46130</c:v>
                </c:pt>
                <c:pt idx="76">
                  <c:v>372559</c:v>
                </c:pt>
                <c:pt idx="77">
                  <c:v>0</c:v>
                </c:pt>
                <c:pt idx="78">
                  <c:v>170557</c:v>
                </c:pt>
                <c:pt idx="79">
                  <c:v>151530</c:v>
                </c:pt>
                <c:pt idx="80">
                  <c:v>153846</c:v>
                </c:pt>
                <c:pt idx="81">
                  <c:v>0</c:v>
                </c:pt>
                <c:pt idx="82">
                  <c:v>0</c:v>
                </c:pt>
                <c:pt idx="83">
                  <c:v>157424</c:v>
                </c:pt>
                <c:pt idx="84">
                  <c:v>309673</c:v>
                </c:pt>
                <c:pt idx="85">
                  <c:v>80922</c:v>
                </c:pt>
                <c:pt idx="86">
                  <c:v>106831</c:v>
                </c:pt>
                <c:pt idx="87">
                  <c:v>100000</c:v>
                </c:pt>
                <c:pt idx="88">
                  <c:v>328946</c:v>
                </c:pt>
                <c:pt idx="89">
                  <c:v>-3114</c:v>
                </c:pt>
                <c:pt idx="90">
                  <c:v>129292</c:v>
                </c:pt>
                <c:pt idx="91">
                  <c:v>166612</c:v>
                </c:pt>
                <c:pt idx="92">
                  <c:v>100438</c:v>
                </c:pt>
                <c:pt idx="93">
                  <c:v>178343</c:v>
                </c:pt>
                <c:pt idx="94">
                  <c:v>1012704</c:v>
                </c:pt>
                <c:pt idx="95">
                  <c:v>34327</c:v>
                </c:pt>
                <c:pt idx="96">
                  <c:v>55347</c:v>
                </c:pt>
                <c:pt idx="97">
                  <c:v>175913</c:v>
                </c:pt>
                <c:pt idx="98">
                  <c:v>5543</c:v>
                </c:pt>
                <c:pt idx="99">
                  <c:v>129309</c:v>
                </c:pt>
                <c:pt idx="100">
                  <c:v>128998</c:v>
                </c:pt>
                <c:pt idx="101">
                  <c:v>896197</c:v>
                </c:pt>
                <c:pt idx="102">
                  <c:v>0</c:v>
                </c:pt>
                <c:pt idx="103">
                  <c:v>-12900</c:v>
                </c:pt>
                <c:pt idx="104">
                  <c:v>646541</c:v>
                </c:pt>
                <c:pt idx="105">
                  <c:v>261572</c:v>
                </c:pt>
                <c:pt idx="106">
                  <c:v>2097926</c:v>
                </c:pt>
                <c:pt idx="107">
                  <c:v>118345</c:v>
                </c:pt>
                <c:pt idx="108">
                  <c:v>32028</c:v>
                </c:pt>
                <c:pt idx="109">
                  <c:v>8273</c:v>
                </c:pt>
                <c:pt idx="110">
                  <c:v>146180</c:v>
                </c:pt>
                <c:pt idx="111">
                  <c:v>204968</c:v>
                </c:pt>
                <c:pt idx="112">
                  <c:v>94169</c:v>
                </c:pt>
                <c:pt idx="113">
                  <c:v>88366</c:v>
                </c:pt>
                <c:pt idx="114">
                  <c:v>125896</c:v>
                </c:pt>
                <c:pt idx="115">
                  <c:v>-5760</c:v>
                </c:pt>
                <c:pt idx="116">
                  <c:v>-103695</c:v>
                </c:pt>
                <c:pt idx="117">
                  <c:v>599595</c:v>
                </c:pt>
                <c:pt idx="118">
                  <c:v>0</c:v>
                </c:pt>
                <c:pt idx="119">
                  <c:v>922772</c:v>
                </c:pt>
                <c:pt idx="120">
                  <c:v>472418</c:v>
                </c:pt>
                <c:pt idx="121">
                  <c:v>31430</c:v>
                </c:pt>
                <c:pt idx="122">
                  <c:v>-8988</c:v>
                </c:pt>
                <c:pt idx="123">
                  <c:v>180709</c:v>
                </c:pt>
                <c:pt idx="124">
                  <c:v>31310</c:v>
                </c:pt>
                <c:pt idx="125">
                  <c:v>57081</c:v>
                </c:pt>
                <c:pt idx="126">
                  <c:v>-4038</c:v>
                </c:pt>
                <c:pt idx="127">
                  <c:v>355084</c:v>
                </c:pt>
                <c:pt idx="128">
                  <c:v>155569</c:v>
                </c:pt>
                <c:pt idx="129">
                  <c:v>110919</c:v>
                </c:pt>
                <c:pt idx="130">
                  <c:v>36848</c:v>
                </c:pt>
                <c:pt idx="131">
                  <c:v>8966</c:v>
                </c:pt>
                <c:pt idx="132">
                  <c:v>76251</c:v>
                </c:pt>
                <c:pt idx="133">
                  <c:v>70318</c:v>
                </c:pt>
                <c:pt idx="134">
                  <c:v>96793</c:v>
                </c:pt>
                <c:pt idx="135">
                  <c:v>134238</c:v>
                </c:pt>
                <c:pt idx="136">
                  <c:v>0</c:v>
                </c:pt>
                <c:pt idx="137">
                  <c:v>126431</c:v>
                </c:pt>
                <c:pt idx="138">
                  <c:v>374963</c:v>
                </c:pt>
                <c:pt idx="139">
                  <c:v>17419</c:v>
                </c:pt>
                <c:pt idx="140">
                  <c:v>281637</c:v>
                </c:pt>
                <c:pt idx="141">
                  <c:v>8206</c:v>
                </c:pt>
                <c:pt idx="142">
                  <c:v>852783</c:v>
                </c:pt>
                <c:pt idx="143">
                  <c:v>151421</c:v>
                </c:pt>
                <c:pt idx="144">
                  <c:v>210243</c:v>
                </c:pt>
                <c:pt idx="145">
                  <c:v>17491</c:v>
                </c:pt>
                <c:pt idx="146">
                  <c:v>89913</c:v>
                </c:pt>
                <c:pt idx="147">
                  <c:v>14324</c:v>
                </c:pt>
                <c:pt idx="148">
                  <c:v>187033</c:v>
                </c:pt>
                <c:pt idx="149">
                  <c:v>0</c:v>
                </c:pt>
                <c:pt idx="150">
                  <c:v>97279</c:v>
                </c:pt>
                <c:pt idx="151">
                  <c:v>71874</c:v>
                </c:pt>
                <c:pt idx="152">
                  <c:v>207453</c:v>
                </c:pt>
                <c:pt idx="153">
                  <c:v>8365</c:v>
                </c:pt>
                <c:pt idx="154">
                  <c:v>211463</c:v>
                </c:pt>
                <c:pt idx="155">
                  <c:v>95491</c:v>
                </c:pt>
                <c:pt idx="156">
                  <c:v>307115</c:v>
                </c:pt>
                <c:pt idx="157">
                  <c:v>226461</c:v>
                </c:pt>
                <c:pt idx="158">
                  <c:v>105869</c:v>
                </c:pt>
                <c:pt idx="159">
                  <c:v>29308</c:v>
                </c:pt>
                <c:pt idx="160">
                  <c:v>46945</c:v>
                </c:pt>
                <c:pt idx="161">
                  <c:v>-80028</c:v>
                </c:pt>
                <c:pt idx="162">
                  <c:v>254823</c:v>
                </c:pt>
                <c:pt idx="163">
                  <c:v>217107</c:v>
                </c:pt>
                <c:pt idx="164">
                  <c:v>333244</c:v>
                </c:pt>
                <c:pt idx="165">
                  <c:v>0</c:v>
                </c:pt>
                <c:pt idx="166">
                  <c:v>646914</c:v>
                </c:pt>
                <c:pt idx="167">
                  <c:v>144809</c:v>
                </c:pt>
                <c:pt idx="168">
                  <c:v>80153</c:v>
                </c:pt>
                <c:pt idx="169">
                  <c:v>364218</c:v>
                </c:pt>
                <c:pt idx="170">
                  <c:v>100000</c:v>
                </c:pt>
                <c:pt idx="171">
                  <c:v>20608</c:v>
                </c:pt>
                <c:pt idx="172">
                  <c:v>286093</c:v>
                </c:pt>
                <c:pt idx="173">
                  <c:v>156813</c:v>
                </c:pt>
                <c:pt idx="174">
                  <c:v>227315</c:v>
                </c:pt>
                <c:pt idx="175">
                  <c:v>538065</c:v>
                </c:pt>
                <c:pt idx="176">
                  <c:v>-8926</c:v>
                </c:pt>
                <c:pt idx="177">
                  <c:v>112614</c:v>
                </c:pt>
                <c:pt idx="178">
                  <c:v>40333</c:v>
                </c:pt>
                <c:pt idx="179">
                  <c:v>131028</c:v>
                </c:pt>
                <c:pt idx="180">
                  <c:v>22118</c:v>
                </c:pt>
                <c:pt idx="181">
                  <c:v>284468</c:v>
                </c:pt>
                <c:pt idx="182">
                  <c:v>12850</c:v>
                </c:pt>
                <c:pt idx="183">
                  <c:v>24640</c:v>
                </c:pt>
                <c:pt idx="184">
                  <c:v>29539</c:v>
                </c:pt>
                <c:pt idx="185">
                  <c:v>46456</c:v>
                </c:pt>
                <c:pt idx="186">
                  <c:v>1265666</c:v>
                </c:pt>
                <c:pt idx="187">
                  <c:v>692923</c:v>
                </c:pt>
                <c:pt idx="188">
                  <c:v>193243</c:v>
                </c:pt>
                <c:pt idx="189">
                  <c:v>100000</c:v>
                </c:pt>
                <c:pt idx="190">
                  <c:v>125234</c:v>
                </c:pt>
                <c:pt idx="191">
                  <c:v>316536</c:v>
                </c:pt>
                <c:pt idx="192">
                  <c:v>0</c:v>
                </c:pt>
                <c:pt idx="193">
                  <c:v>149986</c:v>
                </c:pt>
                <c:pt idx="194">
                  <c:v>1008098</c:v>
                </c:pt>
                <c:pt idx="195">
                  <c:v>11321</c:v>
                </c:pt>
                <c:pt idx="196">
                  <c:v>165594</c:v>
                </c:pt>
                <c:pt idx="197">
                  <c:v>161610</c:v>
                </c:pt>
                <c:pt idx="198">
                  <c:v>77543</c:v>
                </c:pt>
                <c:pt idx="199">
                  <c:v>28008</c:v>
                </c:pt>
                <c:pt idx="200">
                  <c:v>102361</c:v>
                </c:pt>
                <c:pt idx="201">
                  <c:v>1481828</c:v>
                </c:pt>
                <c:pt idx="202">
                  <c:v>7501</c:v>
                </c:pt>
                <c:pt idx="203">
                  <c:v>35332</c:v>
                </c:pt>
                <c:pt idx="204">
                  <c:v>89313</c:v>
                </c:pt>
                <c:pt idx="205">
                  <c:v>133960</c:v>
                </c:pt>
                <c:pt idx="206">
                  <c:v>80224</c:v>
                </c:pt>
                <c:pt idx="207">
                  <c:v>74037</c:v>
                </c:pt>
                <c:pt idx="208">
                  <c:v>45739</c:v>
                </c:pt>
                <c:pt idx="209">
                  <c:v>522586</c:v>
                </c:pt>
                <c:pt idx="210">
                  <c:v>100000</c:v>
                </c:pt>
                <c:pt idx="211">
                  <c:v>-2412</c:v>
                </c:pt>
                <c:pt idx="212">
                  <c:v>3538</c:v>
                </c:pt>
                <c:pt idx="213">
                  <c:v>4937083</c:v>
                </c:pt>
                <c:pt idx="214">
                  <c:v>-5136</c:v>
                </c:pt>
                <c:pt idx="215">
                  <c:v>-28218</c:v>
                </c:pt>
                <c:pt idx="216">
                  <c:v>132363</c:v>
                </c:pt>
                <c:pt idx="217">
                  <c:v>39130</c:v>
                </c:pt>
                <c:pt idx="218">
                  <c:v>228843</c:v>
                </c:pt>
                <c:pt idx="219">
                  <c:v>1344012</c:v>
                </c:pt>
                <c:pt idx="220">
                  <c:v>11842</c:v>
                </c:pt>
                <c:pt idx="221">
                  <c:v>17532</c:v>
                </c:pt>
                <c:pt idx="222">
                  <c:v>573801</c:v>
                </c:pt>
                <c:pt idx="223">
                  <c:v>573801</c:v>
                </c:pt>
                <c:pt idx="224">
                  <c:v>192809</c:v>
                </c:pt>
                <c:pt idx="225">
                  <c:v>149010</c:v>
                </c:pt>
                <c:pt idx="226">
                  <c:v>0</c:v>
                </c:pt>
                <c:pt idx="227">
                  <c:v>292333</c:v>
                </c:pt>
                <c:pt idx="228">
                  <c:v>446123</c:v>
                </c:pt>
                <c:pt idx="229">
                  <c:v>518463</c:v>
                </c:pt>
                <c:pt idx="230">
                  <c:v>115096</c:v>
                </c:pt>
                <c:pt idx="231">
                  <c:v>18411</c:v>
                </c:pt>
                <c:pt idx="232">
                  <c:v>133096</c:v>
                </c:pt>
                <c:pt idx="233">
                  <c:v>8780</c:v>
                </c:pt>
                <c:pt idx="234">
                  <c:v>750202</c:v>
                </c:pt>
                <c:pt idx="235">
                  <c:v>116767</c:v>
                </c:pt>
                <c:pt idx="236">
                  <c:v>263297</c:v>
                </c:pt>
                <c:pt idx="237">
                  <c:v>149544</c:v>
                </c:pt>
                <c:pt idx="238">
                  <c:v>105465</c:v>
                </c:pt>
                <c:pt idx="239">
                  <c:v>27523</c:v>
                </c:pt>
                <c:pt idx="240">
                  <c:v>104010</c:v>
                </c:pt>
                <c:pt idx="241">
                  <c:v>376348</c:v>
                </c:pt>
                <c:pt idx="242">
                  <c:v>186742</c:v>
                </c:pt>
                <c:pt idx="243">
                  <c:v>112796</c:v>
                </c:pt>
                <c:pt idx="244">
                  <c:v>149158</c:v>
                </c:pt>
                <c:pt idx="245">
                  <c:v>14476</c:v>
                </c:pt>
                <c:pt idx="246">
                  <c:v>473072</c:v>
                </c:pt>
                <c:pt idx="247">
                  <c:v>105065</c:v>
                </c:pt>
                <c:pt idx="248">
                  <c:v>92045</c:v>
                </c:pt>
                <c:pt idx="249">
                  <c:v>-1040</c:v>
                </c:pt>
                <c:pt idx="250">
                  <c:v>2530</c:v>
                </c:pt>
                <c:pt idx="251">
                  <c:v>19403</c:v>
                </c:pt>
                <c:pt idx="252">
                  <c:v>11258</c:v>
                </c:pt>
                <c:pt idx="253">
                  <c:v>304377</c:v>
                </c:pt>
                <c:pt idx="254">
                  <c:v>373238</c:v>
                </c:pt>
                <c:pt idx="255">
                  <c:v>128041</c:v>
                </c:pt>
                <c:pt idx="256">
                  <c:v>3728</c:v>
                </c:pt>
                <c:pt idx="257">
                  <c:v>215840</c:v>
                </c:pt>
                <c:pt idx="258">
                  <c:v>146128</c:v>
                </c:pt>
                <c:pt idx="259">
                  <c:v>43282</c:v>
                </c:pt>
                <c:pt idx="260">
                  <c:v>168334</c:v>
                </c:pt>
                <c:pt idx="261">
                  <c:v>77120</c:v>
                </c:pt>
                <c:pt idx="262">
                  <c:v>93663</c:v>
                </c:pt>
                <c:pt idx="263">
                  <c:v>-652157</c:v>
                </c:pt>
                <c:pt idx="264">
                  <c:v>53553</c:v>
                </c:pt>
                <c:pt idx="265">
                  <c:v>20366</c:v>
                </c:pt>
                <c:pt idx="266">
                  <c:v>201349</c:v>
                </c:pt>
                <c:pt idx="267">
                  <c:v>9948</c:v>
                </c:pt>
                <c:pt idx="268">
                  <c:v>125025</c:v>
                </c:pt>
                <c:pt idx="269">
                  <c:v>139503</c:v>
                </c:pt>
                <c:pt idx="270">
                  <c:v>203160</c:v>
                </c:pt>
                <c:pt idx="271">
                  <c:v>146390</c:v>
                </c:pt>
                <c:pt idx="272">
                  <c:v>0</c:v>
                </c:pt>
                <c:pt idx="273">
                  <c:v>40810</c:v>
                </c:pt>
                <c:pt idx="274">
                  <c:v>54422</c:v>
                </c:pt>
                <c:pt idx="275">
                  <c:v>-4783</c:v>
                </c:pt>
                <c:pt idx="276">
                  <c:v>81290</c:v>
                </c:pt>
                <c:pt idx="277">
                  <c:v>17051</c:v>
                </c:pt>
                <c:pt idx="278">
                  <c:v>7059</c:v>
                </c:pt>
                <c:pt idx="279">
                  <c:v>83252</c:v>
                </c:pt>
                <c:pt idx="280">
                  <c:v>731007</c:v>
                </c:pt>
                <c:pt idx="281">
                  <c:v>8888</c:v>
                </c:pt>
                <c:pt idx="282">
                  <c:v>372332</c:v>
                </c:pt>
                <c:pt idx="283">
                  <c:v>-14387</c:v>
                </c:pt>
                <c:pt idx="284">
                  <c:v>100981</c:v>
                </c:pt>
                <c:pt idx="285">
                  <c:v>145503</c:v>
                </c:pt>
                <c:pt idx="286">
                  <c:v>902027</c:v>
                </c:pt>
                <c:pt idx="287">
                  <c:v>107134</c:v>
                </c:pt>
                <c:pt idx="288">
                  <c:v>152278</c:v>
                </c:pt>
                <c:pt idx="289">
                  <c:v>10178</c:v>
                </c:pt>
                <c:pt idx="290">
                  <c:v>569610</c:v>
                </c:pt>
                <c:pt idx="291">
                  <c:v>21680</c:v>
                </c:pt>
                <c:pt idx="292">
                  <c:v>130642</c:v>
                </c:pt>
                <c:pt idx="293">
                  <c:v>-33265</c:v>
                </c:pt>
                <c:pt idx="294">
                  <c:v>314828</c:v>
                </c:pt>
                <c:pt idx="295">
                  <c:v>0</c:v>
                </c:pt>
                <c:pt idx="296">
                  <c:v>1365</c:v>
                </c:pt>
                <c:pt idx="297">
                  <c:v>244860</c:v>
                </c:pt>
                <c:pt idx="298">
                  <c:v>229260</c:v>
                </c:pt>
                <c:pt idx="299">
                  <c:v>122356</c:v>
                </c:pt>
                <c:pt idx="300">
                  <c:v>650651</c:v>
                </c:pt>
                <c:pt idx="301">
                  <c:v>294217</c:v>
                </c:pt>
                <c:pt idx="302">
                  <c:v>142756</c:v>
                </c:pt>
                <c:pt idx="303">
                  <c:v>-269</c:v>
                </c:pt>
                <c:pt idx="304">
                  <c:v>170252</c:v>
                </c:pt>
                <c:pt idx="305">
                  <c:v>-15219</c:v>
                </c:pt>
                <c:pt idx="306">
                  <c:v>7385</c:v>
                </c:pt>
                <c:pt idx="307">
                  <c:v>36064</c:v>
                </c:pt>
                <c:pt idx="308">
                  <c:v>563877</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3-9C9B-4B36-A7ED-61C126162CCB}"/>
            </c:ext>
          </c:extLst>
        </c:ser>
        <c:ser>
          <c:idx val="4"/>
          <c:order val="4"/>
          <c:tx>
            <c:v>2020-21</c:v>
          </c:tx>
          <c:spPr>
            <a:solidFill>
              <a:srgbClr val="007966"/>
            </a:solidFill>
            <a:ln cmpd="sng">
              <a:solidFill>
                <a:srgbClr val="000000"/>
              </a:solidFill>
            </a:ln>
          </c:spPr>
          <c:invertIfNegative val="1"/>
          <c:cat>
            <c:strRef>
              <c:f>'Figure 6 Headroom by facility'!$A$3:$A$311</c:f>
              <c:strCache>
                <c:ptCount val="309"/>
                <c:pt idx="0">
                  <c:v>1. Solid Waste Services - MRL</c:v>
                </c:pt>
                <c:pt idx="1">
                  <c:v>Abel Underground Coal Mine</c:v>
                </c:pt>
                <c:pt idx="2">
                  <c:v>AER Rail Freight QLD</c:v>
                </c:pt>
                <c:pt idx="3">
                  <c:v>Angaston Operations</c:v>
                </c:pt>
                <c:pt idx="4">
                  <c:v>APLNG Facility</c:v>
                </c:pt>
                <c:pt idx="5">
                  <c:v>APN01 Appin Colliery - ICH Facility</c:v>
                </c:pt>
                <c:pt idx="6">
                  <c:v>APU01 Pyrenees - AOA Facility</c:v>
                </c:pt>
                <c:pt idx="7">
                  <c:v>ARC01 Mining Area C - MNG Facility</c:v>
                </c:pt>
                <c:pt idx="8">
                  <c:v>Arcadia</c:v>
                </c:pt>
                <c:pt idx="9">
                  <c:v>Ashton Coal Mine (Underground)</c:v>
                </c:pt>
                <c:pt idx="10">
                  <c:v>ATCO Gas Australia Pty Ltd</c:v>
                </c:pt>
                <c:pt idx="11">
                  <c:v>Aurizon Rail Freight NSW</c:v>
                </c:pt>
                <c:pt idx="12">
                  <c:v>Aurizon Rail Freight QLD</c:v>
                </c:pt>
                <c:pt idx="13">
                  <c:v>Aurizon Rail Freight WA</c:v>
                </c:pt>
                <c:pt idx="14">
                  <c:v>AusNet Gas Services Pty Ltd</c:v>
                </c:pt>
                <c:pt idx="15">
                  <c:v>Austar Coal Mine (Underground)</c:v>
                </c:pt>
                <c:pt idx="16">
                  <c:v>Australian Gas Networks (SA) Ltd</c:v>
                </c:pt>
                <c:pt idx="17">
                  <c:v>Australian Gas Networks (Vic) Pty Ltd</c:v>
                </c:pt>
                <c:pt idx="18">
                  <c:v>AWR Rail Freight WA</c:v>
                </c:pt>
                <c:pt idx="19">
                  <c:v>Ballera</c:v>
                </c:pt>
                <c:pt idx="20">
                  <c:v>Baralaba Coal Mine</c:v>
                </c:pt>
                <c:pt idx="21">
                  <c:v>Basker Manta Gummy</c:v>
                </c:pt>
                <c:pt idx="22">
                  <c:v>Batchfire Resources No.1</c:v>
                </c:pt>
                <c:pt idx="23">
                  <c:v>Bell Bay Smelter</c:v>
                </c:pt>
                <c:pt idx="24">
                  <c:v>Beltana / Blakefield South</c:v>
                </c:pt>
                <c:pt idx="25">
                  <c:v>Bengalla Operations</c:v>
                </c:pt>
                <c:pt idx="26">
                  <c:v>Big Lake Gas</c:v>
                </c:pt>
                <c:pt idx="27">
                  <c:v>Birkenhead Operations</c:v>
                </c:pt>
                <c:pt idx="28">
                  <c:v>Blackwater Mine</c:v>
                </c:pt>
                <c:pt idx="29">
                  <c:v>Blair Athol Mine</c:v>
                </c:pt>
                <c:pt idx="30">
                  <c:v>Boggabri Coal Minesite</c:v>
                </c:pt>
                <c:pt idx="31">
                  <c:v>Boyne Smelters Limited</c:v>
                </c:pt>
                <c:pt idx="32">
                  <c:v>Brockman 2 / Nammuldi Mines</c:v>
                </c:pt>
                <c:pt idx="33">
                  <c:v>Brockman 4 Mine</c:v>
                </c:pt>
                <c:pt idx="34">
                  <c:v>Bulga Coal Complex</c:v>
                </c:pt>
                <c:pt idx="35">
                  <c:v>Bulga Opencut</c:v>
                </c:pt>
                <c:pt idx="36">
                  <c:v>Burton Mine</c:v>
                </c:pt>
                <c:pt idx="37">
                  <c:v>Byerwen Mine</c:v>
                </c:pt>
                <c:pt idx="38">
                  <c:v>Cadia Valley Operations</c:v>
                </c:pt>
                <c:pt idx="39">
                  <c:v>CAN01</c:v>
                </c:pt>
                <c:pt idx="40">
                  <c:v>Capcoal Mine</c:v>
                </c:pt>
                <c:pt idx="41">
                  <c:v>Cape Lambert Port Operations</c:v>
                </c:pt>
                <c:pt idx="42">
                  <c:v>Carborough Downs coal mine</c:v>
                </c:pt>
                <c:pt idx="43">
                  <c:v>Carmichael Coal Mine</c:v>
                </c:pt>
                <c:pt idx="44">
                  <c:v>Carosue Dam</c:v>
                </c:pt>
                <c:pt idx="45">
                  <c:v>Caval Ridge Mine</c:v>
                </c:pt>
                <c:pt idx="46">
                  <c:v>CEM NSW Berrima</c:v>
                </c:pt>
                <c:pt idx="47">
                  <c:v>CEM NSW Maldon</c:v>
                </c:pt>
                <c:pt idx="48">
                  <c:v>CEM NSW Marulan</c:v>
                </c:pt>
                <c:pt idx="49">
                  <c:v>CEM VIC Waurn Ponds</c:v>
                </c:pt>
                <c:pt idx="50">
                  <c:v>Central Mine</c:v>
                </c:pt>
                <c:pt idx="51">
                  <c:v>Chain Valley Colliery</c:v>
                </c:pt>
                <c:pt idx="52">
                  <c:v>Chandala Processing Plant</c:v>
                </c:pt>
                <c:pt idx="53">
                  <c:v>Charbon Lime Manufacturing Plant</c:v>
                </c:pt>
                <c:pt idx="54">
                  <c:v>Christmas Creek Mine</c:v>
                </c:pt>
                <c:pt idx="55">
                  <c:v>Clermont Coal Operations</c:v>
                </c:pt>
                <c:pt idx="56">
                  <c:v>Cloudbreak Mine</c:v>
                </c:pt>
                <c:pt idx="57">
                  <c:v>Clyde Terminal</c:v>
                </c:pt>
                <c:pt idx="58">
                  <c:v>Cockburn Operations</c:v>
                </c:pt>
                <c:pt idx="59">
                  <c:v>Collinsville Mine</c:v>
                </c:pt>
                <c:pt idx="60">
                  <c:v>Condabri</c:v>
                </c:pt>
                <c:pt idx="61">
                  <c:v>Cook Colliery</c:v>
                </c:pt>
                <c:pt idx="62">
                  <c:v>Coppabella Coal Mine</c:v>
                </c:pt>
                <c:pt idx="63">
                  <c:v>CSBP Kwinana Facility</c:v>
                </c:pt>
                <c:pt idx="64">
                  <c:v>Curragh Mine</c:v>
                </c:pt>
                <c:pt idx="65">
                  <c:v>Curtis Island GLNG Plant</c:v>
                </c:pt>
                <c:pt idx="66">
                  <c:v>Daandine Operations</c:v>
                </c:pt>
                <c:pt idx="67">
                  <c:v>Dandenong</c:v>
                </c:pt>
                <c:pt idx="68">
                  <c:v>Dartbrook Coal Mine</c:v>
                </c:pt>
                <c:pt idx="69">
                  <c:v>Darwin LNG Plant</c:v>
                </c:pt>
                <c:pt idx="70">
                  <c:v>Daunia Mine</c:v>
                </c:pt>
                <c:pt idx="71">
                  <c:v>Dawson Mine</c:v>
                </c:pt>
                <c:pt idx="72">
                  <c:v>DBNGP</c:v>
                </c:pt>
                <c:pt idx="73">
                  <c:v>DEN01</c:v>
                </c:pt>
                <c:pt idx="74">
                  <c:v>Dongara Operations</c:v>
                </c:pt>
                <c:pt idx="75">
                  <c:v>Drake Mine</c:v>
                </c:pt>
                <c:pt idx="76">
                  <c:v>Drayton Mine</c:v>
                </c:pt>
                <c:pt idx="77">
                  <c:v>Duketon South Operations</c:v>
                </c:pt>
                <c:pt idx="78">
                  <c:v>Duralie Open Cut Mine</c:v>
                </c:pt>
                <c:pt idx="79">
                  <c:v>Eastern Creek Landfill (combined)</c:v>
                </c:pt>
                <c:pt idx="80">
                  <c:v>Eastern Gas Pipeline</c:v>
                </c:pt>
                <c:pt idx="81">
                  <c:v>Eastern Ridge Mine</c:v>
                </c:pt>
                <c:pt idx="82">
                  <c:v>Eliwana Mine</c:v>
                </c:pt>
                <c:pt idx="83">
                  <c:v>Elizabeth Drive Landfill</c:v>
                </c:pt>
                <c:pt idx="84">
                  <c:v>Enfield Project Venture</c:v>
                </c:pt>
                <c:pt idx="85">
                  <c:v>Ensham Resources Minesite</c:v>
                </c:pt>
                <c:pt idx="86">
                  <c:v>Ergon Energy Network Facility</c:v>
                </c:pt>
                <c:pt idx="87">
                  <c:v>Ernest Henry Mining Operations</c:v>
                </c:pt>
                <c:pt idx="88">
                  <c:v>Erskine Park Landfill</c:v>
                </c:pt>
                <c:pt idx="89">
                  <c:v>Facility WA CTC</c:v>
                </c:pt>
                <c:pt idx="90">
                  <c:v>Fairview</c:v>
                </c:pt>
                <c:pt idx="91">
                  <c:v>Farstad Shipping Offshore Operations Western Australia</c:v>
                </c:pt>
                <c:pt idx="92">
                  <c:v>Fimiston</c:v>
                </c:pt>
                <c:pt idx="93">
                  <c:v>Fisherman's Landing</c:v>
                </c:pt>
                <c:pt idx="94">
                  <c:v>FLNG</c:v>
                </c:pt>
                <c:pt idx="95">
                  <c:v>Fortescue Rail</c:v>
                </c:pt>
                <c:pt idx="96">
                  <c:v>Foxleigh Mine</c:v>
                </c:pt>
                <c:pt idx="97">
                  <c:v>Geelong Refinery</c:v>
                </c:pt>
                <c:pt idx="98">
                  <c:v>GEM01</c:v>
                </c:pt>
                <c:pt idx="99">
                  <c:v>Gibson Island</c:v>
                </c:pt>
                <c:pt idx="100">
                  <c:v>Gidgealpa Gas</c:v>
                </c:pt>
                <c:pt idx="101">
                  <c:v>Gippsland Basin facility</c:v>
                </c:pt>
                <c:pt idx="102">
                  <c:v>Glendell Mine</c:v>
                </c:pt>
                <c:pt idx="103">
                  <c:v>Goldfields Gas Transmission Pipeline</c:v>
                </c:pt>
                <c:pt idx="104">
                  <c:v>Goonyella Broadmeadow Mine</c:v>
                </c:pt>
                <c:pt idx="105">
                  <c:v>Gorgon Downstream</c:v>
                </c:pt>
                <c:pt idx="106">
                  <c:v>Gorgon Operations</c:v>
                </c:pt>
                <c:pt idx="107">
                  <c:v>Gorgon Upstream</c:v>
                </c:pt>
                <c:pt idx="108">
                  <c:v>Gove Operations</c:v>
                </c:pt>
                <c:pt idx="109">
                  <c:v>Granny Smith Mine Site</c:v>
                </c:pt>
                <c:pt idx="110">
                  <c:v>Griffin Coal Mine</c:v>
                </c:pt>
                <c:pt idx="111">
                  <c:v>Grosvenor Mine</c:v>
                </c:pt>
                <c:pt idx="112">
                  <c:v>Gruyere Mine Site</c:v>
                </c:pt>
                <c:pt idx="113">
                  <c:v>Hail Creek Mine</c:v>
                </c:pt>
                <c:pt idx="114">
                  <c:v>Hallam Road Landfill</c:v>
                </c:pt>
                <c:pt idx="115">
                  <c:v>Hope Downs 1 Mine</c:v>
                </c:pt>
                <c:pt idx="116">
                  <c:v>Hope Downs 4 Mine</c:v>
                </c:pt>
                <c:pt idx="117">
                  <c:v>Hunter Valley Operations mine</c:v>
                </c:pt>
                <c:pt idx="118">
                  <c:v>Huntly Mine</c:v>
                </c:pt>
                <c:pt idx="119">
                  <c:v>HVY01 Hunter Valley Energy Coal - CCL Facility</c:v>
                </c:pt>
                <c:pt idx="120">
                  <c:v>Integra Underground Mine</c:v>
                </c:pt>
                <c:pt idx="121">
                  <c:v>Isaac Plains Coal Mine</c:v>
                </c:pt>
                <c:pt idx="122">
                  <c:v>Jellinbah Mine</c:v>
                </c:pt>
                <c:pt idx="123">
                  <c:v>JGN</c:v>
                </c:pt>
                <c:pt idx="124">
                  <c:v>Jimblebar Mine</c:v>
                </c:pt>
                <c:pt idx="125">
                  <c:v>Jundee Gold Mine</c:v>
                </c:pt>
                <c:pt idx="126">
                  <c:v>Kemerton Silicon Smelter</c:v>
                </c:pt>
                <c:pt idx="127">
                  <c:v>Kestrel Mine</c:v>
                </c:pt>
                <c:pt idx="128">
                  <c:v>Koolyanobbing/Windarling Operations</c:v>
                </c:pt>
                <c:pt idx="129">
                  <c:v>Kooragang Island</c:v>
                </c:pt>
                <c:pt idx="130">
                  <c:v>Kwinana Alumina Refinery</c:v>
                </c:pt>
                <c:pt idx="131">
                  <c:v>Kwinana Pigment Plant</c:v>
                </c:pt>
                <c:pt idx="132">
                  <c:v>Kwinana Refinery</c:v>
                </c:pt>
                <c:pt idx="133">
                  <c:v>Lake Vermont Mine</c:v>
                </c:pt>
                <c:pt idx="134">
                  <c:v>Lang Lang</c:v>
                </c:pt>
                <c:pt idx="135">
                  <c:v>Lawn Hill Mine</c:v>
                </c:pt>
                <c:pt idx="136">
                  <c:v>Leonora Operations</c:v>
                </c:pt>
                <c:pt idx="137">
                  <c:v>Liberty OneSteel Laverton Steel Mill</c:v>
                </c:pt>
                <c:pt idx="138">
                  <c:v>Liberty Primary Steel Whyalla Steelworks</c:v>
                </c:pt>
                <c:pt idx="139">
                  <c:v>Liberty Steel Laverton Steel Mill</c:v>
                </c:pt>
                <c:pt idx="140">
                  <c:v>Liddell Coal Mine</c:v>
                </c:pt>
                <c:pt idx="141">
                  <c:v>LNG Pipeline</c:v>
                </c:pt>
                <c:pt idx="142">
                  <c:v>Mandalong Mine</c:v>
                </c:pt>
                <c:pt idx="143">
                  <c:v>Mangoola</c:v>
                </c:pt>
                <c:pt idx="144">
                  <c:v>Mannering Colliery</c:v>
                </c:pt>
                <c:pt idx="145">
                  <c:v>Marandoo Mine</c:v>
                </c:pt>
                <c:pt idx="146">
                  <c:v>Maules Creek Open Cut Mine</c:v>
                </c:pt>
                <c:pt idx="147">
                  <c:v>McArthur River Mining Operations</c:v>
                </c:pt>
                <c:pt idx="148">
                  <c:v>Meandu Coal Mine</c:v>
                </c:pt>
                <c:pt idx="149">
                  <c:v>Mesa A Mine</c:v>
                </c:pt>
                <c:pt idx="150">
                  <c:v>Metropolitan Colliery</c:v>
                </c:pt>
                <c:pt idx="151">
                  <c:v>Middlemount Coal Mine</c:v>
                </c:pt>
                <c:pt idx="152">
                  <c:v>Millennium Coal Mine</c:v>
                </c:pt>
                <c:pt idx="153">
                  <c:v>Millicent Mill</c:v>
                </c:pt>
                <c:pt idx="154">
                  <c:v>Mobil Altona Refinery</c:v>
                </c:pt>
                <c:pt idx="155">
                  <c:v>Montara Operations</c:v>
                </c:pt>
                <c:pt idx="156">
                  <c:v>Moolarben Coal Mine (Open Cut &amp; Underground)</c:v>
                </c:pt>
                <c:pt idx="157">
                  <c:v>Moomba Plant</c:v>
                </c:pt>
                <c:pt idx="158">
                  <c:v>Moomba South Central Gas</c:v>
                </c:pt>
                <c:pt idx="159">
                  <c:v>Moorvale Coal Mine</c:v>
                </c:pt>
                <c:pt idx="160">
                  <c:v>Moranbah</c:v>
                </c:pt>
                <c:pt idx="161">
                  <c:v>Moranbah North Mine</c:v>
                </c:pt>
                <c:pt idx="162">
                  <c:v>Mount Isa Mines Copper and Zinc Operations</c:v>
                </c:pt>
                <c:pt idx="163">
                  <c:v>Mount Pleasant Operations</c:v>
                </c:pt>
                <c:pt idx="164">
                  <c:v>Mount Thorley Operations</c:v>
                </c:pt>
                <c:pt idx="165">
                  <c:v>Mt Owen Coal Mine</c:v>
                </c:pt>
                <c:pt idx="166">
                  <c:v>Mt Owen Glendell Complex</c:v>
                </c:pt>
                <c:pt idx="167">
                  <c:v>Multinet Principal Distribution Network and South Gippsland Pipeline</c:v>
                </c:pt>
                <c:pt idx="168">
                  <c:v>Murrin Murrin Operations</c:v>
                </c:pt>
                <c:pt idx="169">
                  <c:v>Myuna Colliery</c:v>
                </c:pt>
                <c:pt idx="170">
                  <c:v>Narngulu Synthetic Rutile Processing Operations</c:v>
                </c:pt>
                <c:pt idx="171">
                  <c:v>Narrabri Underground Mine</c:v>
                </c:pt>
                <c:pt idx="172">
                  <c:v>New Acland Mine</c:v>
                </c:pt>
                <c:pt idx="173">
                  <c:v>New Chum Landfill</c:v>
                </c:pt>
                <c:pt idx="174">
                  <c:v>New Illawarra Road Landfill</c:v>
                </c:pt>
                <c:pt idx="175">
                  <c:v>Newlands Coal Complex including Newlands Northern UG</c:v>
                </c:pt>
                <c:pt idx="176">
                  <c:v>Newman Operations</c:v>
                </c:pt>
                <c:pt idx="177">
                  <c:v>Newmont Boddington Gold Operation</c:v>
                </c:pt>
                <c:pt idx="178">
                  <c:v>Newmont Tanami Operation</c:v>
                </c:pt>
                <c:pt idx="179">
                  <c:v>Newstan Colliery</c:v>
                </c:pt>
                <c:pt idx="180">
                  <c:v>NGP</c:v>
                </c:pt>
                <c:pt idx="181">
                  <c:v>Ningaloo Vision FPSO</c:v>
                </c:pt>
                <c:pt idx="182">
                  <c:v>NKS01 Nickel West Kalgoorlie Facility</c:v>
                </c:pt>
                <c:pt idx="183">
                  <c:v>NKW01 Nickel West Kwinana Facility</c:v>
                </c:pt>
                <c:pt idx="184">
                  <c:v>NMK01 Nickel West Mt Keith Facility</c:v>
                </c:pt>
                <c:pt idx="185">
                  <c:v>Norske Skog Boyer Mill</c:v>
                </c:pt>
                <c:pt idx="186">
                  <c:v>North Goonyella Coal Mine</c:v>
                </c:pt>
                <c:pt idx="187">
                  <c:v>North West Shelf Project</c:v>
                </c:pt>
                <c:pt idx="188">
                  <c:v>Northern Endeavour FPSO</c:v>
                </c:pt>
                <c:pt idx="189">
                  <c:v>Norwich Park Mine</c:v>
                </c:pt>
                <c:pt idx="190">
                  <c:v>Nowra Plant</c:v>
                </c:pt>
                <c:pt idx="191">
                  <c:v>Nyrstar Port Pirie Facility</c:v>
                </c:pt>
                <c:pt idx="192">
                  <c:v>Nyrstar Port Pirie Smelter</c:v>
                </c:pt>
                <c:pt idx="193">
                  <c:v>O-I Melbourne Plant</c:v>
                </c:pt>
                <c:pt idx="194">
                  <c:v>Oaky Creek Coal Complex</c:v>
                </c:pt>
                <c:pt idx="195">
                  <c:v>ODS01 Olympic Dam - UOD Facility</c:v>
                </c:pt>
                <c:pt idx="196">
                  <c:v>OI Adelaide Plant</c:v>
                </c:pt>
                <c:pt idx="197">
                  <c:v>OI Sydney Plant</c:v>
                </c:pt>
                <c:pt idx="198">
                  <c:v>Opal Australian Paper Maryvale Mill</c:v>
                </c:pt>
                <c:pt idx="199">
                  <c:v>Orora Glass Plant Gawler</c:v>
                </c:pt>
                <c:pt idx="200">
                  <c:v>Otway</c:v>
                </c:pt>
                <c:pt idx="201">
                  <c:v>Palmer Nickel and Cobalt Refinery</c:v>
                </c:pt>
                <c:pt idx="202">
                  <c:v>Paraburdoo Mine</c:v>
                </c:pt>
                <c:pt idx="203">
                  <c:v>Parkhurst Magnesia Manufacturing Plant</c:v>
                </c:pt>
                <c:pt idx="204">
                  <c:v>Peak Downs Mine</c:v>
                </c:pt>
                <c:pt idx="205">
                  <c:v>Peat</c:v>
                </c:pt>
                <c:pt idx="206">
                  <c:v>Phosphate Hill</c:v>
                </c:pt>
                <c:pt idx="207">
                  <c:v>Pilbara Rail Operations</c:v>
                </c:pt>
                <c:pt idx="208">
                  <c:v>Pinjarra Alumina Refinery</c:v>
                </c:pt>
                <c:pt idx="209">
                  <c:v>Pluto LNG</c:v>
                </c:pt>
                <c:pt idx="210">
                  <c:v>Point Henry Aluminium Smelter</c:v>
                </c:pt>
                <c:pt idx="211">
                  <c:v>Poitrel Mine</c:v>
                </c:pt>
                <c:pt idx="212">
                  <c:v>Port Bonython Plant</c:v>
                </c:pt>
                <c:pt idx="213">
                  <c:v>Port Kembla Steelworks</c:v>
                </c:pt>
                <c:pt idx="214">
                  <c:v>Port Latta Pelletising Plant</c:v>
                </c:pt>
                <c:pt idx="215">
                  <c:v>Portland Aluminium Smelter</c:v>
                </c:pt>
                <c:pt idx="216">
                  <c:v>Premier Coal Mine</c:v>
                </c:pt>
                <c:pt idx="217">
                  <c:v>PRL03 Rail - IOR Facility</c:v>
                </c:pt>
                <c:pt idx="218">
                  <c:v>Prominent Hill Mine</c:v>
                </c:pt>
                <c:pt idx="219">
                  <c:v>Qantas Airways Limited National Transport Facility</c:v>
                </c:pt>
                <c:pt idx="220">
                  <c:v>Qenos Altona Manufacturing</c:v>
                </c:pt>
                <c:pt idx="221">
                  <c:v>Qenos Botany Manufacturing</c:v>
                </c:pt>
                <c:pt idx="222">
                  <c:v>QGC Upstream</c:v>
                </c:pt>
                <c:pt idx="223">
                  <c:v>QGC Upstream</c:v>
                </c:pt>
                <c:pt idx="224">
                  <c:v>QLD - Ti Tree Bioreactor</c:v>
                </c:pt>
                <c:pt idx="225">
                  <c:v>QLD - Wattle Glen Landfill</c:v>
                </c:pt>
                <c:pt idx="226">
                  <c:v>Queensland</c:v>
                </c:pt>
                <c:pt idx="227">
                  <c:v>Queensland Alumina Limited Refinery</c:v>
                </c:pt>
                <c:pt idx="228">
                  <c:v>Queensland Curtis LNG Plant</c:v>
                </c:pt>
                <c:pt idx="229">
                  <c:v>Queensland Nitrates Ammonium Nitrate Plant</c:v>
                </c:pt>
                <c:pt idx="230">
                  <c:v>Railton</c:v>
                </c:pt>
                <c:pt idx="231">
                  <c:v>Ranger Mine</c:v>
                </c:pt>
                <c:pt idx="232">
                  <c:v>Ravensthorpe Nickel Operation</c:v>
                </c:pt>
                <c:pt idx="233">
                  <c:v>Ravensworth Operations</c:v>
                </c:pt>
                <c:pt idx="234">
                  <c:v>Ravensworth Underground Coal Mine</c:v>
                </c:pt>
                <c:pt idx="235">
                  <c:v>Red Hill Waste Management Facility</c:v>
                </c:pt>
                <c:pt idx="236">
                  <c:v>Reedy Creek &amp; Combabula</c:v>
                </c:pt>
                <c:pt idx="237">
                  <c:v>Refinery Qld Lytton</c:v>
                </c:pt>
                <c:pt idx="238">
                  <c:v>Rio Tinto Marine - Qld</c:v>
                </c:pt>
                <c:pt idx="239">
                  <c:v>Rio Tinto Weipa</c:v>
                </c:pt>
                <c:pt idx="240">
                  <c:v>Rio Tinto Yarwun</c:v>
                </c:pt>
                <c:pt idx="241">
                  <c:v>Rix's Creek Pty Limited</c:v>
                </c:pt>
                <c:pt idx="242">
                  <c:v>Rochedale landfill facility</c:v>
                </c:pt>
                <c:pt idx="243">
                  <c:v>Rolleston Coal Mine</c:v>
                </c:pt>
                <c:pt idx="244">
                  <c:v>Roma Hub</c:v>
                </c:pt>
                <c:pt idx="245">
                  <c:v>Roy Hill Mine</c:v>
                </c:pt>
                <c:pt idx="246">
                  <c:v>Russell Vale Colliery</c:v>
                </c:pt>
                <c:pt idx="247">
                  <c:v>SA - IWS Landfill</c:v>
                </c:pt>
                <c:pt idx="248">
                  <c:v>Saraji Mine</c:v>
                </c:pt>
                <c:pt idx="249">
                  <c:v>Savage River Mine</c:v>
                </c:pt>
                <c:pt idx="250">
                  <c:v>Sewerage East</c:v>
                </c:pt>
                <c:pt idx="251">
                  <c:v>Sewerage West</c:v>
                </c:pt>
                <c:pt idx="252">
                  <c:v>SIMEC Mining - Middleback Range Iron Ore Mine (Whyalla)</c:v>
                </c:pt>
                <c:pt idx="253">
                  <c:v>SIMEC Mining - Tahmoor Coal Mine</c:v>
                </c:pt>
                <c:pt idx="254">
                  <c:v>Sino Iron Project - Cape Preston</c:v>
                </c:pt>
                <c:pt idx="255">
                  <c:v>Sojitz Minerva Coal Mine</c:v>
                </c:pt>
                <c:pt idx="256">
                  <c:v>Solomon Mine</c:v>
                </c:pt>
                <c:pt idx="257">
                  <c:v>Sonoma Mine</c:v>
                </c:pt>
                <c:pt idx="258">
                  <c:v>South Denison</c:v>
                </c:pt>
                <c:pt idx="259">
                  <c:v>South Walker Creek</c:v>
                </c:pt>
                <c:pt idx="260">
                  <c:v>South West Queensland Pipeline</c:v>
                </c:pt>
                <c:pt idx="261">
                  <c:v>South West Synthetic Rutile Operations</c:v>
                </c:pt>
                <c:pt idx="262">
                  <c:v>Spring Gully</c:v>
                </c:pt>
                <c:pt idx="263">
                  <c:v>Start up and Operations of the Ichthys LNG Project</c:v>
                </c:pt>
                <c:pt idx="264">
                  <c:v>State Transit Bus Operations</c:v>
                </c:pt>
                <c:pt idx="265">
                  <c:v>Sunrise Dam</c:v>
                </c:pt>
                <c:pt idx="266">
                  <c:v>Swanbank Landfill</c:v>
                </c:pt>
                <c:pt idx="267">
                  <c:v>Talinga</c:v>
                </c:pt>
                <c:pt idx="268">
                  <c:v>Tarrawonga Open-Cut Mine</c:v>
                </c:pt>
                <c:pt idx="269">
                  <c:v>Telfer Gold Mine</c:v>
                </c:pt>
                <c:pt idx="270">
                  <c:v>TEM01</c:v>
                </c:pt>
                <c:pt idx="271">
                  <c:v>The Maddingley Mine Trust</c:v>
                </c:pt>
                <c:pt idx="272">
                  <c:v>Thunderbox</c:v>
                </c:pt>
                <c:pt idx="273">
                  <c:v>Tipton Operations</c:v>
                </c:pt>
                <c:pt idx="274">
                  <c:v>Toll National Transport Facility</c:v>
                </c:pt>
                <c:pt idx="275">
                  <c:v>Tom Price Mine / WTS</c:v>
                </c:pt>
                <c:pt idx="276">
                  <c:v>Tomago Aluminium Smelter</c:v>
                </c:pt>
                <c:pt idx="277">
                  <c:v>Tropicana Gold Mine</c:v>
                </c:pt>
                <c:pt idx="278">
                  <c:v>TT-Line - Victorian Operation</c:v>
                </c:pt>
                <c:pt idx="279">
                  <c:v>Ulan Coal Mine</c:v>
                </c:pt>
                <c:pt idx="280">
                  <c:v>United Coal Mine</c:v>
                </c:pt>
                <c:pt idx="281">
                  <c:v>V/Line</c:v>
                </c:pt>
                <c:pt idx="282">
                  <c:v>Varanus Hub</c:v>
                </c:pt>
                <c:pt idx="283">
                  <c:v>Victoria</c:v>
                </c:pt>
                <c:pt idx="284">
                  <c:v>Victory Road Landfill</c:v>
                </c:pt>
                <c:pt idx="285">
                  <c:v>Vincent Project Venture</c:v>
                </c:pt>
                <c:pt idx="286">
                  <c:v>Virgin Australia Holdings National Transport Facility</c:v>
                </c:pt>
                <c:pt idx="287">
                  <c:v>Visy Paper 8 - Gibson Island</c:v>
                </c:pt>
                <c:pt idx="288">
                  <c:v>WA Oil - Barrow Island</c:v>
                </c:pt>
                <c:pt idx="289">
                  <c:v>Wagerup Alumina Refinery</c:v>
                </c:pt>
                <c:pt idx="290">
                  <c:v>Wambo Coal Mine</c:v>
                </c:pt>
                <c:pt idx="291">
                  <c:v>Warkworth Mine</c:v>
                </c:pt>
                <c:pt idx="292">
                  <c:v>Werris Creek Open-Cut Mine</c:v>
                </c:pt>
                <c:pt idx="293">
                  <c:v>West Angelas Mine</c:v>
                </c:pt>
                <c:pt idx="294">
                  <c:v>West Wallsend Coal Mine</c:v>
                </c:pt>
                <c:pt idx="295">
                  <c:v>Western Australia</c:v>
                </c:pt>
                <c:pt idx="296">
                  <c:v>Western Port Works</c:v>
                </c:pt>
                <c:pt idx="297">
                  <c:v>Wheatstone Operations</c:v>
                </c:pt>
                <c:pt idx="298">
                  <c:v>Wheatstone Project LNG Plant and Associated Facilities</c:v>
                </c:pt>
                <c:pt idx="299">
                  <c:v>Wilkie Creek Coal Mine</c:v>
                </c:pt>
                <c:pt idx="300">
                  <c:v>Wilpinjong Coal Mine</c:v>
                </c:pt>
                <c:pt idx="301">
                  <c:v>Wongawilli mine</c:v>
                </c:pt>
                <c:pt idx="302">
                  <c:v>Woodlawn Bioreactor</c:v>
                </c:pt>
                <c:pt idx="303">
                  <c:v>WOR01 Worsley Alumina Refinery/Mine</c:v>
                </c:pt>
                <c:pt idx="304">
                  <c:v>YAN01 Yandi/Marillana Creek Mine - MNG Facility</c:v>
                </c:pt>
                <c:pt idx="305">
                  <c:v>Yandicoogina Mine</c:v>
                </c:pt>
                <c:pt idx="306">
                  <c:v>Yarrabee Coal Mine (Open Cut)</c:v>
                </c:pt>
                <c:pt idx="307">
                  <c:v>Yarwun Nitrates</c:v>
                </c:pt>
                <c:pt idx="308">
                  <c:v>YPF Ammonia Plant</c:v>
                </c:pt>
              </c:strCache>
            </c:strRef>
          </c:cat>
          <c:val>
            <c:numRef>
              <c:f>'Figure 6 Headroom by facility'!$F$3:$F$311</c:f>
              <c:numCache>
                <c:formatCode>#,##0</c:formatCode>
                <c:ptCount val="309"/>
                <c:pt idx="0">
                  <c:v>112530</c:v>
                </c:pt>
                <c:pt idx="1">
                  <c:v>148286</c:v>
                </c:pt>
                <c:pt idx="2">
                  <c:v>141002</c:v>
                </c:pt>
                <c:pt idx="3">
                  <c:v>246443</c:v>
                </c:pt>
                <c:pt idx="4">
                  <c:v>534061</c:v>
                </c:pt>
                <c:pt idx="5">
                  <c:v>2019714</c:v>
                </c:pt>
                <c:pt idx="6">
                  <c:v>203494</c:v>
                </c:pt>
                <c:pt idx="7">
                  <c:v>36722</c:v>
                </c:pt>
                <c:pt idx="8">
                  <c:v>121354</c:v>
                </c:pt>
                <c:pt idx="9">
                  <c:v>78294</c:v>
                </c:pt>
                <c:pt idx="10">
                  <c:v>29449</c:v>
                </c:pt>
                <c:pt idx="11">
                  <c:v>43848</c:v>
                </c:pt>
                <c:pt idx="12">
                  <c:v>182978</c:v>
                </c:pt>
                <c:pt idx="13">
                  <c:v>79034</c:v>
                </c:pt>
                <c:pt idx="14">
                  <c:v>4286</c:v>
                </c:pt>
                <c:pt idx="15">
                  <c:v>211460</c:v>
                </c:pt>
                <c:pt idx="16">
                  <c:v>184481</c:v>
                </c:pt>
                <c:pt idx="17">
                  <c:v>137573</c:v>
                </c:pt>
                <c:pt idx="18">
                  <c:v>0</c:v>
                </c:pt>
                <c:pt idx="19">
                  <c:v>24652</c:v>
                </c:pt>
                <c:pt idx="20">
                  <c:v>-2549</c:v>
                </c:pt>
                <c:pt idx="21">
                  <c:v>130007</c:v>
                </c:pt>
                <c:pt idx="22">
                  <c:v>82073</c:v>
                </c:pt>
                <c:pt idx="23">
                  <c:v>14812</c:v>
                </c:pt>
                <c:pt idx="24">
                  <c:v>0</c:v>
                </c:pt>
                <c:pt idx="25">
                  <c:v>83377</c:v>
                </c:pt>
                <c:pt idx="26">
                  <c:v>140474</c:v>
                </c:pt>
                <c:pt idx="27">
                  <c:v>171677</c:v>
                </c:pt>
                <c:pt idx="28">
                  <c:v>44712</c:v>
                </c:pt>
                <c:pt idx="29">
                  <c:v>229743</c:v>
                </c:pt>
                <c:pt idx="30">
                  <c:v>17752</c:v>
                </c:pt>
                <c:pt idx="31">
                  <c:v>20102</c:v>
                </c:pt>
                <c:pt idx="32">
                  <c:v>20187</c:v>
                </c:pt>
                <c:pt idx="33">
                  <c:v>230246</c:v>
                </c:pt>
                <c:pt idx="34">
                  <c:v>190634</c:v>
                </c:pt>
                <c:pt idx="35">
                  <c:v>0</c:v>
                </c:pt>
                <c:pt idx="36">
                  <c:v>226806</c:v>
                </c:pt>
                <c:pt idx="37">
                  <c:v>123567</c:v>
                </c:pt>
                <c:pt idx="38">
                  <c:v>112476</c:v>
                </c:pt>
                <c:pt idx="39">
                  <c:v>19289</c:v>
                </c:pt>
                <c:pt idx="40">
                  <c:v>1298894</c:v>
                </c:pt>
                <c:pt idx="41">
                  <c:v>109955</c:v>
                </c:pt>
                <c:pt idx="42">
                  <c:v>141462</c:v>
                </c:pt>
                <c:pt idx="43">
                  <c:v>0</c:v>
                </c:pt>
                <c:pt idx="44">
                  <c:v>72</c:v>
                </c:pt>
                <c:pt idx="45">
                  <c:v>8287</c:v>
                </c:pt>
                <c:pt idx="46">
                  <c:v>32219</c:v>
                </c:pt>
                <c:pt idx="47">
                  <c:v>100000</c:v>
                </c:pt>
                <c:pt idx="48">
                  <c:v>125947</c:v>
                </c:pt>
                <c:pt idx="49">
                  <c:v>100000</c:v>
                </c:pt>
                <c:pt idx="50">
                  <c:v>100000</c:v>
                </c:pt>
                <c:pt idx="51">
                  <c:v>-467650</c:v>
                </c:pt>
                <c:pt idx="52">
                  <c:v>168195</c:v>
                </c:pt>
                <c:pt idx="53">
                  <c:v>102296</c:v>
                </c:pt>
                <c:pt idx="54">
                  <c:v>22399</c:v>
                </c:pt>
                <c:pt idx="55">
                  <c:v>97199</c:v>
                </c:pt>
                <c:pt idx="56">
                  <c:v>-16746</c:v>
                </c:pt>
                <c:pt idx="57">
                  <c:v>100000</c:v>
                </c:pt>
                <c:pt idx="58">
                  <c:v>794608</c:v>
                </c:pt>
                <c:pt idx="59">
                  <c:v>32056</c:v>
                </c:pt>
                <c:pt idx="60">
                  <c:v>278185</c:v>
                </c:pt>
                <c:pt idx="61">
                  <c:v>240439</c:v>
                </c:pt>
                <c:pt idx="62">
                  <c:v>32196</c:v>
                </c:pt>
                <c:pt idx="63">
                  <c:v>522273</c:v>
                </c:pt>
                <c:pt idx="64">
                  <c:v>402161</c:v>
                </c:pt>
                <c:pt idx="65">
                  <c:v>157849</c:v>
                </c:pt>
                <c:pt idx="66">
                  <c:v>6233</c:v>
                </c:pt>
                <c:pt idx="67">
                  <c:v>11976</c:v>
                </c:pt>
                <c:pt idx="68">
                  <c:v>119137</c:v>
                </c:pt>
                <c:pt idx="69">
                  <c:v>-38545</c:v>
                </c:pt>
                <c:pt idx="70">
                  <c:v>48660</c:v>
                </c:pt>
                <c:pt idx="71">
                  <c:v>308346</c:v>
                </c:pt>
                <c:pt idx="72">
                  <c:v>3093</c:v>
                </c:pt>
                <c:pt idx="73">
                  <c:v>212241</c:v>
                </c:pt>
                <c:pt idx="74">
                  <c:v>1138</c:v>
                </c:pt>
                <c:pt idx="75">
                  <c:v>18060</c:v>
                </c:pt>
                <c:pt idx="76">
                  <c:v>374523</c:v>
                </c:pt>
                <c:pt idx="77">
                  <c:v>7217</c:v>
                </c:pt>
                <c:pt idx="78">
                  <c:v>186432</c:v>
                </c:pt>
                <c:pt idx="79">
                  <c:v>151530</c:v>
                </c:pt>
                <c:pt idx="80">
                  <c:v>0</c:v>
                </c:pt>
                <c:pt idx="81">
                  <c:v>0</c:v>
                </c:pt>
                <c:pt idx="82">
                  <c:v>199022</c:v>
                </c:pt>
                <c:pt idx="83">
                  <c:v>176057</c:v>
                </c:pt>
                <c:pt idx="84">
                  <c:v>309673</c:v>
                </c:pt>
                <c:pt idx="85">
                  <c:v>-67378</c:v>
                </c:pt>
                <c:pt idx="86">
                  <c:v>106831</c:v>
                </c:pt>
                <c:pt idx="87">
                  <c:v>100000</c:v>
                </c:pt>
                <c:pt idx="88">
                  <c:v>328946</c:v>
                </c:pt>
                <c:pt idx="89">
                  <c:v>2334</c:v>
                </c:pt>
                <c:pt idx="90">
                  <c:v>199000</c:v>
                </c:pt>
                <c:pt idx="91">
                  <c:v>166612</c:v>
                </c:pt>
                <c:pt idx="92">
                  <c:v>87111</c:v>
                </c:pt>
                <c:pt idx="93">
                  <c:v>176690</c:v>
                </c:pt>
                <c:pt idx="94">
                  <c:v>757362</c:v>
                </c:pt>
                <c:pt idx="95">
                  <c:v>-5413</c:v>
                </c:pt>
                <c:pt idx="96">
                  <c:v>99375</c:v>
                </c:pt>
                <c:pt idx="97">
                  <c:v>193989</c:v>
                </c:pt>
                <c:pt idx="98">
                  <c:v>-2238</c:v>
                </c:pt>
                <c:pt idx="99">
                  <c:v>58454</c:v>
                </c:pt>
                <c:pt idx="100">
                  <c:v>128998</c:v>
                </c:pt>
                <c:pt idx="101">
                  <c:v>1174996</c:v>
                </c:pt>
                <c:pt idx="102">
                  <c:v>0</c:v>
                </c:pt>
                <c:pt idx="103">
                  <c:v>26373</c:v>
                </c:pt>
                <c:pt idx="104">
                  <c:v>22561</c:v>
                </c:pt>
                <c:pt idx="105">
                  <c:v>261572</c:v>
                </c:pt>
                <c:pt idx="106">
                  <c:v>2905687</c:v>
                </c:pt>
                <c:pt idx="107">
                  <c:v>118345</c:v>
                </c:pt>
                <c:pt idx="108">
                  <c:v>18870</c:v>
                </c:pt>
                <c:pt idx="109">
                  <c:v>8247</c:v>
                </c:pt>
                <c:pt idx="110">
                  <c:v>146180</c:v>
                </c:pt>
                <c:pt idx="111">
                  <c:v>978262</c:v>
                </c:pt>
                <c:pt idx="112">
                  <c:v>62075</c:v>
                </c:pt>
                <c:pt idx="113">
                  <c:v>48112</c:v>
                </c:pt>
                <c:pt idx="114">
                  <c:v>140745</c:v>
                </c:pt>
                <c:pt idx="115">
                  <c:v>-3587</c:v>
                </c:pt>
                <c:pt idx="116">
                  <c:v>897</c:v>
                </c:pt>
                <c:pt idx="117">
                  <c:v>70554</c:v>
                </c:pt>
                <c:pt idx="118">
                  <c:v>8882</c:v>
                </c:pt>
                <c:pt idx="119">
                  <c:v>-30461</c:v>
                </c:pt>
                <c:pt idx="120">
                  <c:v>168604</c:v>
                </c:pt>
                <c:pt idx="121">
                  <c:v>143095</c:v>
                </c:pt>
                <c:pt idx="122">
                  <c:v>3428</c:v>
                </c:pt>
                <c:pt idx="123">
                  <c:v>126254</c:v>
                </c:pt>
                <c:pt idx="124">
                  <c:v>35091</c:v>
                </c:pt>
                <c:pt idx="125">
                  <c:v>45172</c:v>
                </c:pt>
                <c:pt idx="126">
                  <c:v>0</c:v>
                </c:pt>
                <c:pt idx="127">
                  <c:v>163908</c:v>
                </c:pt>
                <c:pt idx="128">
                  <c:v>38313</c:v>
                </c:pt>
                <c:pt idx="129">
                  <c:v>262430</c:v>
                </c:pt>
                <c:pt idx="130">
                  <c:v>31167</c:v>
                </c:pt>
                <c:pt idx="131">
                  <c:v>6700</c:v>
                </c:pt>
                <c:pt idx="132">
                  <c:v>325714</c:v>
                </c:pt>
                <c:pt idx="133">
                  <c:v>446</c:v>
                </c:pt>
                <c:pt idx="134">
                  <c:v>65982</c:v>
                </c:pt>
                <c:pt idx="135">
                  <c:v>134238</c:v>
                </c:pt>
                <c:pt idx="136">
                  <c:v>116852</c:v>
                </c:pt>
                <c:pt idx="137">
                  <c:v>13204</c:v>
                </c:pt>
                <c:pt idx="138">
                  <c:v>344502</c:v>
                </c:pt>
                <c:pt idx="139">
                  <c:v>126431</c:v>
                </c:pt>
                <c:pt idx="140">
                  <c:v>8287</c:v>
                </c:pt>
                <c:pt idx="141">
                  <c:v>0</c:v>
                </c:pt>
                <c:pt idx="142">
                  <c:v>259142</c:v>
                </c:pt>
                <c:pt idx="143">
                  <c:v>122507</c:v>
                </c:pt>
                <c:pt idx="144">
                  <c:v>210243</c:v>
                </c:pt>
                <c:pt idx="145">
                  <c:v>44687</c:v>
                </c:pt>
                <c:pt idx="146">
                  <c:v>62888</c:v>
                </c:pt>
                <c:pt idx="147">
                  <c:v>11718</c:v>
                </c:pt>
                <c:pt idx="148">
                  <c:v>187033</c:v>
                </c:pt>
                <c:pt idx="149">
                  <c:v>-14654</c:v>
                </c:pt>
                <c:pt idx="150">
                  <c:v>262359</c:v>
                </c:pt>
                <c:pt idx="151">
                  <c:v>12868</c:v>
                </c:pt>
                <c:pt idx="152">
                  <c:v>207453</c:v>
                </c:pt>
                <c:pt idx="153">
                  <c:v>118369</c:v>
                </c:pt>
                <c:pt idx="154">
                  <c:v>133276</c:v>
                </c:pt>
                <c:pt idx="155">
                  <c:v>84641</c:v>
                </c:pt>
                <c:pt idx="156">
                  <c:v>196825</c:v>
                </c:pt>
                <c:pt idx="157">
                  <c:v>129049</c:v>
                </c:pt>
                <c:pt idx="158">
                  <c:v>105869</c:v>
                </c:pt>
                <c:pt idx="159">
                  <c:v>127499</c:v>
                </c:pt>
                <c:pt idx="160">
                  <c:v>95391</c:v>
                </c:pt>
                <c:pt idx="161">
                  <c:v>2004485</c:v>
                </c:pt>
                <c:pt idx="162">
                  <c:v>310201</c:v>
                </c:pt>
                <c:pt idx="163">
                  <c:v>56437</c:v>
                </c:pt>
                <c:pt idx="164">
                  <c:v>363977</c:v>
                </c:pt>
                <c:pt idx="165">
                  <c:v>0</c:v>
                </c:pt>
                <c:pt idx="166">
                  <c:v>7188</c:v>
                </c:pt>
                <c:pt idx="167">
                  <c:v>142982</c:v>
                </c:pt>
                <c:pt idx="168">
                  <c:v>130584</c:v>
                </c:pt>
                <c:pt idx="169">
                  <c:v>422186</c:v>
                </c:pt>
                <c:pt idx="170">
                  <c:v>100000</c:v>
                </c:pt>
                <c:pt idx="171">
                  <c:v>731809</c:v>
                </c:pt>
                <c:pt idx="172">
                  <c:v>286093</c:v>
                </c:pt>
                <c:pt idx="173">
                  <c:v>156813</c:v>
                </c:pt>
                <c:pt idx="174">
                  <c:v>125988</c:v>
                </c:pt>
                <c:pt idx="175">
                  <c:v>63625</c:v>
                </c:pt>
                <c:pt idx="176">
                  <c:v>30314</c:v>
                </c:pt>
                <c:pt idx="177">
                  <c:v>135150</c:v>
                </c:pt>
                <c:pt idx="178">
                  <c:v>28052</c:v>
                </c:pt>
                <c:pt idx="179">
                  <c:v>114261</c:v>
                </c:pt>
                <c:pt idx="180">
                  <c:v>46856</c:v>
                </c:pt>
                <c:pt idx="181">
                  <c:v>546091</c:v>
                </c:pt>
                <c:pt idx="182">
                  <c:v>8613</c:v>
                </c:pt>
                <c:pt idx="183">
                  <c:v>5770</c:v>
                </c:pt>
                <c:pt idx="184">
                  <c:v>29328</c:v>
                </c:pt>
                <c:pt idx="185">
                  <c:v>22763</c:v>
                </c:pt>
                <c:pt idx="186">
                  <c:v>31224</c:v>
                </c:pt>
                <c:pt idx="187">
                  <c:v>-186678</c:v>
                </c:pt>
                <c:pt idx="188">
                  <c:v>0</c:v>
                </c:pt>
                <c:pt idx="189">
                  <c:v>100000</c:v>
                </c:pt>
                <c:pt idx="190">
                  <c:v>115340</c:v>
                </c:pt>
                <c:pt idx="191">
                  <c:v>608982</c:v>
                </c:pt>
                <c:pt idx="192">
                  <c:v>204115</c:v>
                </c:pt>
                <c:pt idx="193">
                  <c:v>149986</c:v>
                </c:pt>
                <c:pt idx="194">
                  <c:v>92620</c:v>
                </c:pt>
                <c:pt idx="195">
                  <c:v>5491</c:v>
                </c:pt>
                <c:pt idx="196">
                  <c:v>165594</c:v>
                </c:pt>
                <c:pt idx="197">
                  <c:v>161610</c:v>
                </c:pt>
                <c:pt idx="198">
                  <c:v>85675</c:v>
                </c:pt>
                <c:pt idx="199">
                  <c:v>21723</c:v>
                </c:pt>
                <c:pt idx="200">
                  <c:v>71300</c:v>
                </c:pt>
                <c:pt idx="201">
                  <c:v>1481828</c:v>
                </c:pt>
                <c:pt idx="202">
                  <c:v>-12598</c:v>
                </c:pt>
                <c:pt idx="203">
                  <c:v>117214</c:v>
                </c:pt>
                <c:pt idx="204">
                  <c:v>72866</c:v>
                </c:pt>
                <c:pt idx="205">
                  <c:v>133960</c:v>
                </c:pt>
                <c:pt idx="206">
                  <c:v>90125</c:v>
                </c:pt>
                <c:pt idx="207">
                  <c:v>10115</c:v>
                </c:pt>
                <c:pt idx="208">
                  <c:v>1479736</c:v>
                </c:pt>
                <c:pt idx="209">
                  <c:v>-13895</c:v>
                </c:pt>
                <c:pt idx="210">
                  <c:v>100000</c:v>
                </c:pt>
                <c:pt idx="211">
                  <c:v>-9593</c:v>
                </c:pt>
                <c:pt idx="212">
                  <c:v>21442</c:v>
                </c:pt>
                <c:pt idx="213">
                  <c:v>4779450</c:v>
                </c:pt>
                <c:pt idx="214">
                  <c:v>4904</c:v>
                </c:pt>
                <c:pt idx="215">
                  <c:v>-16906</c:v>
                </c:pt>
                <c:pt idx="216">
                  <c:v>141510</c:v>
                </c:pt>
                <c:pt idx="217">
                  <c:v>37195</c:v>
                </c:pt>
                <c:pt idx="218">
                  <c:v>228843</c:v>
                </c:pt>
                <c:pt idx="219">
                  <c:v>2226945</c:v>
                </c:pt>
                <c:pt idx="220">
                  <c:v>47057</c:v>
                </c:pt>
                <c:pt idx="221">
                  <c:v>89519</c:v>
                </c:pt>
                <c:pt idx="222">
                  <c:v>304880</c:v>
                </c:pt>
                <c:pt idx="223">
                  <c:v>304880</c:v>
                </c:pt>
                <c:pt idx="224">
                  <c:v>192809</c:v>
                </c:pt>
                <c:pt idx="225">
                  <c:v>149010</c:v>
                </c:pt>
                <c:pt idx="226">
                  <c:v>-1464</c:v>
                </c:pt>
                <c:pt idx="227">
                  <c:v>133898</c:v>
                </c:pt>
                <c:pt idx="228">
                  <c:v>457810</c:v>
                </c:pt>
                <c:pt idx="229">
                  <c:v>100913</c:v>
                </c:pt>
                <c:pt idx="230">
                  <c:v>70434</c:v>
                </c:pt>
                <c:pt idx="231">
                  <c:v>51272</c:v>
                </c:pt>
                <c:pt idx="232">
                  <c:v>148732</c:v>
                </c:pt>
                <c:pt idx="233">
                  <c:v>21077</c:v>
                </c:pt>
                <c:pt idx="234">
                  <c:v>17786</c:v>
                </c:pt>
                <c:pt idx="235">
                  <c:v>116767</c:v>
                </c:pt>
                <c:pt idx="236">
                  <c:v>0</c:v>
                </c:pt>
                <c:pt idx="237">
                  <c:v>317528</c:v>
                </c:pt>
                <c:pt idx="238">
                  <c:v>36188</c:v>
                </c:pt>
                <c:pt idx="239">
                  <c:v>16751</c:v>
                </c:pt>
                <c:pt idx="240">
                  <c:v>165050</c:v>
                </c:pt>
                <c:pt idx="241">
                  <c:v>376348</c:v>
                </c:pt>
                <c:pt idx="242">
                  <c:v>186742</c:v>
                </c:pt>
                <c:pt idx="243">
                  <c:v>20070</c:v>
                </c:pt>
                <c:pt idx="244">
                  <c:v>120340</c:v>
                </c:pt>
                <c:pt idx="245">
                  <c:v>10536</c:v>
                </c:pt>
                <c:pt idx="246">
                  <c:v>1115025</c:v>
                </c:pt>
                <c:pt idx="247">
                  <c:v>105065</c:v>
                </c:pt>
                <c:pt idx="248">
                  <c:v>-107418</c:v>
                </c:pt>
                <c:pt idx="249">
                  <c:v>27981</c:v>
                </c:pt>
                <c:pt idx="250">
                  <c:v>126099</c:v>
                </c:pt>
                <c:pt idx="251">
                  <c:v>5146</c:v>
                </c:pt>
                <c:pt idx="252">
                  <c:v>19653</c:v>
                </c:pt>
                <c:pt idx="253">
                  <c:v>883353</c:v>
                </c:pt>
                <c:pt idx="254">
                  <c:v>398004</c:v>
                </c:pt>
                <c:pt idx="255">
                  <c:v>128041</c:v>
                </c:pt>
                <c:pt idx="256">
                  <c:v>12863</c:v>
                </c:pt>
                <c:pt idx="257">
                  <c:v>215840</c:v>
                </c:pt>
                <c:pt idx="258">
                  <c:v>146128</c:v>
                </c:pt>
                <c:pt idx="259">
                  <c:v>21943</c:v>
                </c:pt>
                <c:pt idx="260">
                  <c:v>46789</c:v>
                </c:pt>
                <c:pt idx="261">
                  <c:v>111228</c:v>
                </c:pt>
                <c:pt idx="262">
                  <c:v>188914</c:v>
                </c:pt>
                <c:pt idx="263">
                  <c:v>716544</c:v>
                </c:pt>
                <c:pt idx="264">
                  <c:v>159748</c:v>
                </c:pt>
                <c:pt idx="265">
                  <c:v>8105</c:v>
                </c:pt>
                <c:pt idx="266">
                  <c:v>201349</c:v>
                </c:pt>
                <c:pt idx="267">
                  <c:v>35966</c:v>
                </c:pt>
                <c:pt idx="268">
                  <c:v>125025</c:v>
                </c:pt>
                <c:pt idx="269">
                  <c:v>126760</c:v>
                </c:pt>
                <c:pt idx="270">
                  <c:v>229610</c:v>
                </c:pt>
                <c:pt idx="271">
                  <c:v>146390</c:v>
                </c:pt>
                <c:pt idx="272">
                  <c:v>213075</c:v>
                </c:pt>
                <c:pt idx="273">
                  <c:v>143038</c:v>
                </c:pt>
                <c:pt idx="274">
                  <c:v>128848</c:v>
                </c:pt>
                <c:pt idx="275">
                  <c:v>-32337</c:v>
                </c:pt>
                <c:pt idx="276">
                  <c:v>76646</c:v>
                </c:pt>
                <c:pt idx="277">
                  <c:v>28762</c:v>
                </c:pt>
                <c:pt idx="278">
                  <c:v>32154</c:v>
                </c:pt>
                <c:pt idx="279">
                  <c:v>82514</c:v>
                </c:pt>
                <c:pt idx="280">
                  <c:v>330425</c:v>
                </c:pt>
                <c:pt idx="281">
                  <c:v>20362</c:v>
                </c:pt>
                <c:pt idx="282">
                  <c:v>161775</c:v>
                </c:pt>
                <c:pt idx="283">
                  <c:v>52875</c:v>
                </c:pt>
                <c:pt idx="284">
                  <c:v>100981</c:v>
                </c:pt>
                <c:pt idx="285">
                  <c:v>-39088</c:v>
                </c:pt>
                <c:pt idx="286">
                  <c:v>1552232</c:v>
                </c:pt>
                <c:pt idx="287">
                  <c:v>107134</c:v>
                </c:pt>
                <c:pt idx="288">
                  <c:v>152278</c:v>
                </c:pt>
                <c:pt idx="289">
                  <c:v>478656</c:v>
                </c:pt>
                <c:pt idx="290">
                  <c:v>-83649</c:v>
                </c:pt>
                <c:pt idx="291">
                  <c:v>239544</c:v>
                </c:pt>
                <c:pt idx="292">
                  <c:v>130642</c:v>
                </c:pt>
                <c:pt idx="293">
                  <c:v>44314</c:v>
                </c:pt>
                <c:pt idx="294">
                  <c:v>314828</c:v>
                </c:pt>
                <c:pt idx="295">
                  <c:v>-3394</c:v>
                </c:pt>
                <c:pt idx="296">
                  <c:v>20097</c:v>
                </c:pt>
                <c:pt idx="297">
                  <c:v>317865</c:v>
                </c:pt>
                <c:pt idx="298">
                  <c:v>229260</c:v>
                </c:pt>
                <c:pt idx="299">
                  <c:v>122356</c:v>
                </c:pt>
                <c:pt idx="300">
                  <c:v>67153</c:v>
                </c:pt>
                <c:pt idx="301">
                  <c:v>294217</c:v>
                </c:pt>
                <c:pt idx="302">
                  <c:v>142756</c:v>
                </c:pt>
                <c:pt idx="303">
                  <c:v>60977</c:v>
                </c:pt>
                <c:pt idx="304">
                  <c:v>188817</c:v>
                </c:pt>
                <c:pt idx="305">
                  <c:v>110691</c:v>
                </c:pt>
                <c:pt idx="306">
                  <c:v>18704</c:v>
                </c:pt>
                <c:pt idx="307">
                  <c:v>31621</c:v>
                </c:pt>
                <c:pt idx="308">
                  <c:v>55356</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4-9C9B-4B36-A7ED-61C126162CCB}"/>
            </c:ext>
          </c:extLst>
        </c:ser>
        <c:dLbls>
          <c:showLegendKey val="0"/>
          <c:showVal val="0"/>
          <c:showCatName val="0"/>
          <c:showSerName val="0"/>
          <c:showPercent val="0"/>
          <c:showBubbleSize val="0"/>
        </c:dLbls>
        <c:gapWidth val="150"/>
        <c:overlap val="100"/>
        <c:axId val="1823121012"/>
        <c:axId val="961240627"/>
      </c:barChart>
      <c:catAx>
        <c:axId val="1823121012"/>
        <c:scaling>
          <c:orientation val="maxMin"/>
        </c:scaling>
        <c:delete val="0"/>
        <c:axPos val="l"/>
        <c:title>
          <c:tx>
            <c:rich>
              <a:bodyPr/>
              <a:lstStyle/>
              <a:p>
                <a:pPr lvl="0">
                  <a:defRPr b="0">
                    <a:solidFill>
                      <a:srgbClr val="000000"/>
                    </a:solidFill>
                    <a:latin typeface="+mn-lt"/>
                  </a:defRPr>
                </a:pPr>
                <a:r>
                  <a:rPr lang="en-AU" b="0">
                    <a:solidFill>
                      <a:srgbClr val="000000"/>
                    </a:solidFill>
                    <a:latin typeface="+mn-lt"/>
                  </a:rPr>
                  <a:t>Facility</a:t>
                </a:r>
              </a:p>
            </c:rich>
          </c:tx>
          <c:overlay val="0"/>
        </c:title>
        <c:numFmt formatCode="General" sourceLinked="1"/>
        <c:majorTickMark val="none"/>
        <c:minorTickMark val="none"/>
        <c:tickLblPos val="nextTo"/>
        <c:txPr>
          <a:bodyPr/>
          <a:lstStyle/>
          <a:p>
            <a:pPr lvl="0">
              <a:defRPr b="0">
                <a:solidFill>
                  <a:srgbClr val="000000"/>
                </a:solidFill>
                <a:latin typeface="+mn-lt"/>
              </a:defRPr>
            </a:pPr>
            <a:endParaRPr lang="en-US"/>
          </a:p>
        </c:txPr>
        <c:crossAx val="961240627"/>
        <c:crosses val="autoZero"/>
        <c:auto val="1"/>
        <c:lblAlgn val="ctr"/>
        <c:lblOffset val="100"/>
        <c:noMultiLvlLbl val="1"/>
      </c:catAx>
      <c:valAx>
        <c:axId val="961240627"/>
        <c:scaling>
          <c:orientation val="minMax"/>
        </c:scaling>
        <c:delete val="0"/>
        <c:axPos val="b"/>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lang="en-AU" b="0">
                    <a:solidFill>
                      <a:srgbClr val="000000"/>
                    </a:solidFill>
                    <a:latin typeface="+mn-lt"/>
                  </a:rPr>
                  <a:t>Emissions (tCO2e) 2016-17 to 2020-21</a:t>
                </a:r>
              </a:p>
            </c:rich>
          </c:tx>
          <c:overlay val="0"/>
        </c:title>
        <c:numFmt formatCode="#,##0" sourceLinked="1"/>
        <c:majorTickMark val="none"/>
        <c:minorTickMark val="none"/>
        <c:tickLblPos val="nextTo"/>
        <c:spPr>
          <a:ln/>
        </c:spPr>
        <c:txPr>
          <a:bodyPr/>
          <a:lstStyle/>
          <a:p>
            <a:pPr lvl="0">
              <a:defRPr b="0">
                <a:solidFill>
                  <a:srgbClr val="000000"/>
                </a:solidFill>
                <a:latin typeface="+mn-lt"/>
              </a:defRPr>
            </a:pPr>
            <a:endParaRPr lang="en-US"/>
          </a:p>
        </c:txPr>
        <c:crossAx val="1823121012"/>
        <c:crosses val="max"/>
        <c:crossBetween val="between"/>
      </c:valAx>
    </c:plotArea>
    <c:legend>
      <c:legendPos val="r"/>
      <c:overlay val="0"/>
      <c:txPr>
        <a:bodyPr/>
        <a:lstStyle/>
        <a:p>
          <a:pPr lvl="0">
            <a:defRPr b="0">
              <a:solidFill>
                <a:srgbClr val="414042"/>
              </a:solidFill>
              <a:latin typeface="Arial"/>
            </a:defRPr>
          </a:pPr>
          <a:endParaRPr lang="en-US"/>
        </a:p>
      </c:txPr>
    </c:legend>
    <c:plotVisOnly val="1"/>
    <c:dispBlanksAs val="zero"/>
    <c:showDLblsOverMax val="1"/>
  </c:chart>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lvl="0">
              <a:defRPr b="0">
                <a:solidFill>
                  <a:srgbClr val="757575"/>
                </a:solidFill>
                <a:latin typeface="+mn-lt"/>
              </a:defRPr>
            </a:pPr>
            <a:r>
              <a:rPr lang="en-AU" b="0">
                <a:solidFill>
                  <a:srgbClr val="757575"/>
                </a:solidFill>
                <a:latin typeface="+mn-lt"/>
              </a:rPr>
              <a:t>Aggregate Safeguard baseline headroom by activity</a:t>
            </a:r>
          </a:p>
        </c:rich>
      </c:tx>
      <c:overlay val="0"/>
    </c:title>
    <c:autoTitleDeleted val="0"/>
    <c:plotArea>
      <c:layout/>
      <c:barChart>
        <c:barDir val="bar"/>
        <c:grouping val="stacked"/>
        <c:varyColors val="1"/>
        <c:ser>
          <c:idx val="0"/>
          <c:order val="0"/>
          <c:tx>
            <c:v>2016-17</c:v>
          </c:tx>
          <c:spPr>
            <a:solidFill>
              <a:srgbClr val="C6E097"/>
            </a:solidFill>
            <a:ln cmpd="sng">
              <a:solidFill>
                <a:srgbClr val="000000"/>
              </a:solidFill>
            </a:ln>
          </c:spPr>
          <c:invertIfNegative val="1"/>
          <c:cat>
            <c:strRef>
              <c:f>'Figure 7 Headroom by activity'!$A$3:$A$181</c:f>
              <c:strCache>
                <c:ptCount val="179"/>
                <c:pt idx="0">
                  <c:v>Coal Mining</c:v>
                </c:pt>
                <c:pt idx="1">
                  <c:v>Oil and Gas Extraction</c:v>
                </c:pt>
                <c:pt idx="2">
                  <c:v>Iron Smelting and Steel Manufacturing</c:v>
                </c:pt>
                <c:pt idx="3">
                  <c:v>Waste Treatment and Disposal Services</c:v>
                </c:pt>
                <c:pt idx="4">
                  <c:v>Cement and Lime Manufacturing</c:v>
                </c:pt>
                <c:pt idx="5">
                  <c:v>Other Basic Non-Ferrous Metal Manufacturing</c:v>
                </c:pt>
                <c:pt idx="6">
                  <c:v>Fertiliser Manufacturing</c:v>
                </c:pt>
                <c:pt idx="7">
                  <c:v>Aircraft Manufacturing and Repair Services</c:v>
                </c:pt>
                <c:pt idx="8">
                  <c:v>Gas Supply</c:v>
                </c:pt>
                <c:pt idx="9">
                  <c:v>Basic Inorganic Chemical Manufacturing</c:v>
                </c:pt>
                <c:pt idx="10">
                  <c:v>Gold Ore Mining</c:v>
                </c:pt>
                <c:pt idx="11">
                  <c:v>Alumina Production</c:v>
                </c:pt>
                <c:pt idx="12">
                  <c:v>Iron Ore Mining</c:v>
                </c:pt>
                <c:pt idx="13">
                  <c:v>Rail Freight Transport</c:v>
                </c:pt>
                <c:pt idx="14">
                  <c:v>Air and Space Transport</c:v>
                </c:pt>
                <c:pt idx="15">
                  <c:v>Copper, Silver, Lead and Zinc Smelting and Refining</c:v>
                </c:pt>
                <c:pt idx="16">
                  <c:v>Glass and Glass Product Manufacturing</c:v>
                </c:pt>
                <c:pt idx="17">
                  <c:v>Petroleum Refining and Petroleum Fuel Manufacturing</c:v>
                </c:pt>
                <c:pt idx="18">
                  <c:v>Pulp, Paper and Paperboard Manufacturing</c:v>
                </c:pt>
                <c:pt idx="19">
                  <c:v>Port and Water Transport Terminal Operations</c:v>
                </c:pt>
                <c:pt idx="20">
                  <c:v>Mineral Sand Mining</c:v>
                </c:pt>
                <c:pt idx="21">
                  <c:v>Copper Ore Mining</c:v>
                </c:pt>
                <c:pt idx="22">
                  <c:v>Nickel Ore Mining</c:v>
                </c:pt>
                <c:pt idx="23">
                  <c:v>Aluminium Smelting</c:v>
                </c:pt>
                <c:pt idx="24">
                  <c:v>Silver-Lead-Zinc Ore Mining</c:v>
                </c:pt>
                <c:pt idx="25">
                  <c:v>Other Non-Metallic Mineral Product Manufacturing</c:v>
                </c:pt>
                <c:pt idx="26">
                  <c:v>Fossil Fuel Electricity Generation</c:v>
                </c:pt>
                <c:pt idx="27">
                  <c:v>Petroleum Product Wholesaling</c:v>
                </c:pt>
                <c:pt idx="28">
                  <c:v>Road Freight Transport</c:v>
                </c:pt>
                <c:pt idx="29">
                  <c:v>Water Freight Transport</c:v>
                </c:pt>
                <c:pt idx="30">
                  <c:v>Other Food Product Manufacturing n.e.c.</c:v>
                </c:pt>
                <c:pt idx="31">
                  <c:v>Sewerage and Drainage Services</c:v>
                </c:pt>
                <c:pt idx="32">
                  <c:v>Iron and Steel Casting</c:v>
                </c:pt>
                <c:pt idx="33">
                  <c:v>Urban Bus Transport (Including Tramway)</c:v>
                </c:pt>
                <c:pt idx="34">
                  <c:v>Explosive Manufacturing</c:v>
                </c:pt>
                <c:pt idx="35">
                  <c:v>Bauxite Mining</c:v>
                </c:pt>
                <c:pt idx="36">
                  <c:v>Other Metal Ore Mining</c:v>
                </c:pt>
                <c:pt idx="37">
                  <c:v>Synthetic Resin and Synthetic Rubber Manufacturing</c:v>
                </c:pt>
                <c:pt idx="38">
                  <c:v>Basic Organic Chemical Manufacturing</c:v>
                </c:pt>
                <c:pt idx="39">
                  <c:v>Rail Passenger Transport</c:v>
                </c:pt>
                <c:pt idx="40">
                  <c:v>Human Pharmaceutical and Medicinal Product Manufacturing</c:v>
                </c:pt>
                <c:pt idx="41">
                  <c:v>Water Passenger Transport</c:v>
                </c:pt>
                <c:pt idx="42">
                  <c:v>Accommodation</c:v>
                </c:pt>
                <c:pt idx="43">
                  <c:v>Adhesive Manufacturing</c:v>
                </c:pt>
                <c:pt idx="44">
                  <c:v>Airport Operations and Other Air Transport Support Services</c:v>
                </c:pt>
                <c:pt idx="45">
                  <c:v>Aluminium Rolling, Drawing, Extruding</c:v>
                </c:pt>
                <c:pt idx="46">
                  <c:v>Beef Cattle Farming (Specialised)</c:v>
                </c:pt>
                <c:pt idx="47">
                  <c:v>Beef Cattle Feedlots (Specialised)</c:v>
                </c:pt>
                <c:pt idx="48">
                  <c:v>Beer Manufacturing</c:v>
                </c:pt>
                <c:pt idx="49">
                  <c:v>Biscuit Manufacturing (Factory based)</c:v>
                </c:pt>
                <c:pt idx="50">
                  <c:v>Boatbuilding and Repair Services</c:v>
                </c:pt>
                <c:pt idx="51">
                  <c:v>Boiler, Tank and Other Heavy Gauge Metal Container Manufacturing</c:v>
                </c:pt>
                <c:pt idx="52">
                  <c:v>Bread Manufacturing (Factory based)</c:v>
                </c:pt>
                <c:pt idx="53">
                  <c:v>Cake and Pastry Manufacturing (Factory based)</c:v>
                </c:pt>
                <c:pt idx="54">
                  <c:v>Central Government Administration</c:v>
                </c:pt>
                <c:pt idx="55">
                  <c:v>Cereal, Pasta and Baking Mix Manufacturing</c:v>
                </c:pt>
                <c:pt idx="56">
                  <c:v>Cheese and Other Dairy Product Manufacturing</c:v>
                </c:pt>
                <c:pt idx="57">
                  <c:v>Cigarette and Tobacco Product Manufacturing</c:v>
                </c:pt>
                <c:pt idx="58">
                  <c:v>Clay Brick Manufacturing</c:v>
                </c:pt>
                <c:pt idx="59">
                  <c:v>Cleaning Compound Manufacturing</c:v>
                </c:pt>
                <c:pt idx="60">
                  <c:v>Clothing Manufacturing</c:v>
                </c:pt>
                <c:pt idx="61">
                  <c:v>Concrete Product Manufacturing</c:v>
                </c:pt>
                <c:pt idx="62">
                  <c:v>Concreting Services</c:v>
                </c:pt>
                <c:pt idx="63">
                  <c:v>Confectionery Manufacturing</c:v>
                </c:pt>
                <c:pt idx="64">
                  <c:v>Corrugated Paperboard and Paperboard Container Manufacturing</c:v>
                </c:pt>
                <c:pt idx="65">
                  <c:v>Cosmetic and Toiletry Preparation Manufacturing</c:v>
                </c:pt>
                <c:pt idx="66">
                  <c:v>Cured Meat and Smallgoods Manufacturing</c:v>
                </c:pt>
                <c:pt idx="67">
                  <c:v>Cut and Sewn Textile Product Manufacturing</c:v>
                </c:pt>
                <c:pt idx="68">
                  <c:v>Dairy Cattle Farming</c:v>
                </c:pt>
                <c:pt idx="69">
                  <c:v>Data Processing and Web Hosting Services</c:v>
                </c:pt>
                <c:pt idx="70">
                  <c:v>Defence</c:v>
                </c:pt>
                <c:pt idx="71">
                  <c:v>Electric Cable and Wire Manufacturing</c:v>
                </c:pt>
                <c:pt idx="72">
                  <c:v>Fixed Space Heating, Cooling and Ventilation Equipment Manufacturing</c:v>
                </c:pt>
                <c:pt idx="73">
                  <c:v>Fruit and Vegetable Processing</c:v>
                </c:pt>
                <c:pt idx="74">
                  <c:v>Funeral, Crematorium and Cemetery Services</c:v>
                </c:pt>
                <c:pt idx="75">
                  <c:v>Grain Mill Product Manufacturing</c:v>
                </c:pt>
                <c:pt idx="76">
                  <c:v>Grain Storage Services</c:v>
                </c:pt>
                <c:pt idx="77">
                  <c:v>Gravel and Sand Quarrying</c:v>
                </c:pt>
                <c:pt idx="78">
                  <c:v>Higher Education</c:v>
                </c:pt>
                <c:pt idx="79">
                  <c:v>Hospitals (Except Psychiatric Hospitals)</c:v>
                </c:pt>
                <c:pt idx="80">
                  <c:v>Hydro-Electricity Generation</c:v>
                </c:pt>
                <c:pt idx="81">
                  <c:v>Ice Cream Manufacturing</c:v>
                </c:pt>
                <c:pt idx="82">
                  <c:v>Industrial and Agricultural Chemical Product Wholesaling</c:v>
                </c:pt>
                <c:pt idx="83">
                  <c:v>Industrial Gas Manufacturing</c:v>
                </c:pt>
                <c:pt idx="84">
                  <c:v>Iron and Steel Forging</c:v>
                </c:pt>
                <c:pt idx="85">
                  <c:v>Jewellery and Silverware Manufacturing</c:v>
                </c:pt>
                <c:pt idx="86">
                  <c:v>Laundry and Dry-Cleaning Services</c:v>
                </c:pt>
                <c:pt idx="87">
                  <c:v>Leather Tanning, Fur Dressing and Leather Product Manufacturing</c:v>
                </c:pt>
                <c:pt idx="88">
                  <c:v>Log Sawmilling</c:v>
                </c:pt>
                <c:pt idx="89">
                  <c:v>Machine Tool and Parts Manufacturing</c:v>
                </c:pt>
                <c:pt idx="90">
                  <c:v>Meat Processing</c:v>
                </c:pt>
                <c:pt idx="91">
                  <c:v>Medical and Surgical Equipment Manufacturing</c:v>
                </c:pt>
                <c:pt idx="92">
                  <c:v>Metal Coating and Finishing</c:v>
                </c:pt>
                <c:pt idx="93">
                  <c:v>Milk and Cream Processing</c:v>
                </c:pt>
                <c:pt idx="94">
                  <c:v>Mineral Exploration</c:v>
                </c:pt>
                <c:pt idx="95">
                  <c:v>Mining and Construction Machinery Manufacturing</c:v>
                </c:pt>
                <c:pt idx="96">
                  <c:v>Motor Vehicle Manufacturing</c:v>
                </c:pt>
                <c:pt idx="97">
                  <c:v>Motor Vehicle New Parts Wholesaling</c:v>
                </c:pt>
                <c:pt idx="98">
                  <c:v>Natural Rubber Product Manufacturing</c:v>
                </c:pt>
                <c:pt idx="99">
                  <c:v>Natural Textile Manufacturing</c:v>
                </c:pt>
                <c:pt idx="100">
                  <c:v>Newspaper Publishing</c:v>
                </c:pt>
                <c:pt idx="101">
                  <c:v>Non-Ferrous Metal Casting</c:v>
                </c:pt>
                <c:pt idx="102">
                  <c:v>Nut, Bolt, Screw and Rivet Manufacturing</c:v>
                </c:pt>
                <c:pt idx="103">
                  <c:v>Office Administrative Services</c:v>
                </c:pt>
                <c:pt idx="104">
                  <c:v>Oil and Fat Manufacturing</c:v>
                </c:pt>
                <c:pt idx="105">
                  <c:v>Other Basic Chemical Product Manufacturing n.e.c.</c:v>
                </c:pt>
                <c:pt idx="106">
                  <c:v>Other Basic Non-Ferrous Metal Product Manufacturing</c:v>
                </c:pt>
                <c:pt idx="107">
                  <c:v>Other Basic Polymer Manufacturing</c:v>
                </c:pt>
                <c:pt idx="108">
                  <c:v>Other Ceramic Product Manufacturing</c:v>
                </c:pt>
                <c:pt idx="109">
                  <c:v>Other Construction Material Mining</c:v>
                </c:pt>
                <c:pt idx="110">
                  <c:v>Other Converted Paper Product Manufacturing</c:v>
                </c:pt>
                <c:pt idx="111">
                  <c:v>Other Electrical Equipment Manufacturing</c:v>
                </c:pt>
                <c:pt idx="112">
                  <c:v>Other Electricity Generation</c:v>
                </c:pt>
                <c:pt idx="113">
                  <c:v>Other Fabricated Metal Product Manufacturing n.e.c.</c:v>
                </c:pt>
                <c:pt idx="114">
                  <c:v>Other Manufacturing n.e.c.</c:v>
                </c:pt>
                <c:pt idx="115">
                  <c:v>Other Metal Container Manufacturing</c:v>
                </c:pt>
                <c:pt idx="116">
                  <c:v>Other Mining Support Services</c:v>
                </c:pt>
                <c:pt idx="117">
                  <c:v>Other Motor Vehicle Parts Manufacturing</c:v>
                </c:pt>
                <c:pt idx="118">
                  <c:v>Other Non-Metallic Mineral Mining and Quarrying</c:v>
                </c:pt>
                <c:pt idx="119">
                  <c:v>Other Petroleum and Coal Product Manufacturing</c:v>
                </c:pt>
                <c:pt idx="120">
                  <c:v>Other Polymer Product Manufacturing</c:v>
                </c:pt>
                <c:pt idx="121">
                  <c:v>Other Professional and Scientific Equipment Manufacturing</c:v>
                </c:pt>
                <c:pt idx="122">
                  <c:v>Other Specialised Machinery and Equipment Manufacturing</c:v>
                </c:pt>
                <c:pt idx="123">
                  <c:v>Other Structural Metal Product Manufacturing</c:v>
                </c:pt>
                <c:pt idx="124">
                  <c:v>Other Transport n.e.c.</c:v>
                </c:pt>
                <c:pt idx="125">
                  <c:v>Other Transport Support Services n.e.c.</c:v>
                </c:pt>
                <c:pt idx="126">
                  <c:v>Other Warehousing and Storage Services</c:v>
                </c:pt>
                <c:pt idx="127">
                  <c:v>Other Waste Collection Services</c:v>
                </c:pt>
                <c:pt idx="128">
                  <c:v>Other Wood Product Manufacturing n.e.c.</c:v>
                </c:pt>
                <c:pt idx="129">
                  <c:v>Packaging Services</c:v>
                </c:pt>
                <c:pt idx="130">
                  <c:v>Paint and Coatings Manufacturing</c:v>
                </c:pt>
                <c:pt idx="131">
                  <c:v>Paper Bag Manufacturing</c:v>
                </c:pt>
                <c:pt idx="132">
                  <c:v>Pesticide Manufacturing</c:v>
                </c:pt>
                <c:pt idx="133">
                  <c:v>Petroleum Exploration</c:v>
                </c:pt>
                <c:pt idx="134">
                  <c:v>Photographic, Optical and Ophthalmic Equipment Manufacturing</c:v>
                </c:pt>
                <c:pt idx="135">
                  <c:v>Pig Farming</c:v>
                </c:pt>
                <c:pt idx="136">
                  <c:v>Pipeline Transport</c:v>
                </c:pt>
                <c:pt idx="137">
                  <c:v>Plaster Product Manufacturing</c:v>
                </c:pt>
                <c:pt idx="138">
                  <c:v>Polymer Film and Sheet Packaging Material Manufacturing</c:v>
                </c:pt>
                <c:pt idx="139">
                  <c:v>Polymer Foam Product Manufacturing</c:v>
                </c:pt>
                <c:pt idx="140">
                  <c:v>Potato, Corn and Other Crisp Manufacturing</c:v>
                </c:pt>
                <c:pt idx="141">
                  <c:v>Poultry Farming (Eggs)</c:v>
                </c:pt>
                <c:pt idx="142">
                  <c:v>Poultry Farming (Meat)</c:v>
                </c:pt>
                <c:pt idx="143">
                  <c:v>Poultry Processing</c:v>
                </c:pt>
                <c:pt idx="144">
                  <c:v>Prepared Animal and Bird Feed Manufacturing</c:v>
                </c:pt>
                <c:pt idx="145">
                  <c:v>Printing</c:v>
                </c:pt>
                <c:pt idx="146">
                  <c:v>Printing Support Services</c:v>
                </c:pt>
                <c:pt idx="147">
                  <c:v>Railway Rolling Stock Manufacturing and Repair Services</c:v>
                </c:pt>
                <c:pt idx="148">
                  <c:v>Ready-Mixed Concrete Manufacturing</c:v>
                </c:pt>
                <c:pt idx="149">
                  <c:v>Reconstituted Wood Product Manufacturing</c:v>
                </c:pt>
                <c:pt idx="150">
                  <c:v>Rigid and Semi-Rigid Polymer Product Manufacturing</c:v>
                </c:pt>
                <c:pt idx="151">
                  <c:v>Scientific Research Services</c:v>
                </c:pt>
                <c:pt idx="152">
                  <c:v>Seafood Processing</c:v>
                </c:pt>
                <c:pt idx="153">
                  <c:v>Shipbuilding and Repair Services</c:v>
                </c:pt>
                <c:pt idx="154">
                  <c:v>Soft Drink, Cordial and Syrup Manufacturing</c:v>
                </c:pt>
                <c:pt idx="155">
                  <c:v>Solid Waste Collection Services</c:v>
                </c:pt>
                <c:pt idx="156">
                  <c:v>Spirit Manufacturing</c:v>
                </c:pt>
                <c:pt idx="157">
                  <c:v>Sports and Physical Recreation Venues, Grounds and Facilities Operation</c:v>
                </c:pt>
                <c:pt idx="158">
                  <c:v>Spring and Wire Product Manufacturing</c:v>
                </c:pt>
                <c:pt idx="159">
                  <c:v>Steel Pipe and Tube Manufacturing</c:v>
                </c:pt>
                <c:pt idx="160">
                  <c:v>Stevedoring Services</c:v>
                </c:pt>
                <c:pt idx="161">
                  <c:v>Structural Steel Fabricating</c:v>
                </c:pt>
                <c:pt idx="162">
                  <c:v>Sugar Manufacturing</c:v>
                </c:pt>
                <c:pt idx="163">
                  <c:v>Synthetic Textile Manufacturing</c:v>
                </c:pt>
                <c:pt idx="164">
                  <c:v>Textile Finishing and Other Textile Product Manufacturing</c:v>
                </c:pt>
                <c:pt idx="165">
                  <c:v>Textile Floor Covering Manufacturing</c:v>
                </c:pt>
                <c:pt idx="166">
                  <c:v>Timber Resawing and Dressing</c:v>
                </c:pt>
                <c:pt idx="167">
                  <c:v>Timber Wholesaling</c:v>
                </c:pt>
                <c:pt idx="168">
                  <c:v>Tyre Manufacturing</c:v>
                </c:pt>
                <c:pt idx="169">
                  <c:v>Veneer and Plywood Manufacturing</c:v>
                </c:pt>
                <c:pt idx="170">
                  <c:v>Veterinary Pharmaceutical and Medicinal Product Manufacturing</c:v>
                </c:pt>
                <c:pt idx="171">
                  <c:v>Waste Remediation and Materials Recovery Services</c:v>
                </c:pt>
                <c:pt idx="172">
                  <c:v>Water Supply</c:v>
                </c:pt>
                <c:pt idx="173">
                  <c:v>Whiteware Appliance Manufacturing</c:v>
                </c:pt>
                <c:pt idx="174">
                  <c:v>Wine and Other Alcoholic Beverage Manufacturing</c:v>
                </c:pt>
                <c:pt idx="175">
                  <c:v>Wood Chipping</c:v>
                </c:pt>
                <c:pt idx="176">
                  <c:v>Wooden Furniture and Upholstered Seat Manufacturing</c:v>
                </c:pt>
                <c:pt idx="177">
                  <c:v>Wooden Structural Fitting and Component Manufacturing</c:v>
                </c:pt>
                <c:pt idx="178">
                  <c:v>Wool Scouring</c:v>
                </c:pt>
              </c:strCache>
            </c:strRef>
          </c:cat>
          <c:val>
            <c:numRef>
              <c:f>'Figure 7 Headroom by activity'!$B$3:$B$181</c:f>
              <c:numCache>
                <c:formatCode>#,##0</c:formatCode>
                <c:ptCount val="179"/>
                <c:pt idx="0">
                  <c:v>21875749</c:v>
                </c:pt>
                <c:pt idx="1">
                  <c:v>6780175</c:v>
                </c:pt>
                <c:pt idx="2">
                  <c:v>5051631</c:v>
                </c:pt>
                <c:pt idx="3">
                  <c:v>2718275</c:v>
                </c:pt>
                <c:pt idx="4">
                  <c:v>1831217</c:v>
                </c:pt>
                <c:pt idx="5">
                  <c:v>1506236</c:v>
                </c:pt>
                <c:pt idx="6">
                  <c:v>2408416</c:v>
                </c:pt>
                <c:pt idx="7">
                  <c:v>336075</c:v>
                </c:pt>
                <c:pt idx="8">
                  <c:v>757264</c:v>
                </c:pt>
                <c:pt idx="9">
                  <c:v>1423194</c:v>
                </c:pt>
                <c:pt idx="10">
                  <c:v>940297</c:v>
                </c:pt>
                <c:pt idx="11">
                  <c:v>436101</c:v>
                </c:pt>
                <c:pt idx="12">
                  <c:v>982716</c:v>
                </c:pt>
                <c:pt idx="13">
                  <c:v>623222</c:v>
                </c:pt>
                <c:pt idx="14">
                  <c:v>132428</c:v>
                </c:pt>
                <c:pt idx="15">
                  <c:v>244464</c:v>
                </c:pt>
                <c:pt idx="16">
                  <c:v>496605</c:v>
                </c:pt>
                <c:pt idx="17">
                  <c:v>307660</c:v>
                </c:pt>
                <c:pt idx="18">
                  <c:v>536892</c:v>
                </c:pt>
                <c:pt idx="19">
                  <c:v>351481</c:v>
                </c:pt>
                <c:pt idx="20">
                  <c:v>327102</c:v>
                </c:pt>
                <c:pt idx="21">
                  <c:v>234443</c:v>
                </c:pt>
                <c:pt idx="22">
                  <c:v>240679</c:v>
                </c:pt>
                <c:pt idx="23">
                  <c:v>380906</c:v>
                </c:pt>
                <c:pt idx="24">
                  <c:v>277564</c:v>
                </c:pt>
                <c:pt idx="25">
                  <c:v>204908</c:v>
                </c:pt>
                <c:pt idx="26">
                  <c:v>106831</c:v>
                </c:pt>
                <c:pt idx="27">
                  <c:v>100000</c:v>
                </c:pt>
                <c:pt idx="28">
                  <c:v>98841</c:v>
                </c:pt>
                <c:pt idx="29">
                  <c:v>91083</c:v>
                </c:pt>
                <c:pt idx="30">
                  <c:v>89116</c:v>
                </c:pt>
                <c:pt idx="31">
                  <c:v>145847</c:v>
                </c:pt>
                <c:pt idx="32">
                  <c:v>0</c:v>
                </c:pt>
                <c:pt idx="33">
                  <c:v>-7942</c:v>
                </c:pt>
                <c:pt idx="34">
                  <c:v>112301</c:v>
                </c:pt>
                <c:pt idx="35">
                  <c:v>21680</c:v>
                </c:pt>
                <c:pt idx="36">
                  <c:v>30031</c:v>
                </c:pt>
                <c:pt idx="37">
                  <c:v>21684</c:v>
                </c:pt>
                <c:pt idx="38">
                  <c:v>-43319</c:v>
                </c:pt>
                <c:pt idx="39">
                  <c:v>15510</c:v>
                </c:pt>
                <c:pt idx="40">
                  <c:v>0</c:v>
                </c:pt>
                <c:pt idx="41">
                  <c:v>-7639</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4447-43DB-BC74-3A4570973F37}"/>
            </c:ext>
          </c:extLst>
        </c:ser>
        <c:ser>
          <c:idx val="1"/>
          <c:order val="1"/>
          <c:tx>
            <c:v>2017-18</c:v>
          </c:tx>
          <c:spPr>
            <a:solidFill>
              <a:srgbClr val="79B88D"/>
            </a:solidFill>
            <a:ln cmpd="sng">
              <a:solidFill>
                <a:srgbClr val="000000"/>
              </a:solidFill>
            </a:ln>
          </c:spPr>
          <c:invertIfNegative val="1"/>
          <c:cat>
            <c:strRef>
              <c:f>'Figure 7 Headroom by activity'!$A$3:$A$181</c:f>
              <c:strCache>
                <c:ptCount val="179"/>
                <c:pt idx="0">
                  <c:v>Coal Mining</c:v>
                </c:pt>
                <c:pt idx="1">
                  <c:v>Oil and Gas Extraction</c:v>
                </c:pt>
                <c:pt idx="2">
                  <c:v>Iron Smelting and Steel Manufacturing</c:v>
                </c:pt>
                <c:pt idx="3">
                  <c:v>Waste Treatment and Disposal Services</c:v>
                </c:pt>
                <c:pt idx="4">
                  <c:v>Cement and Lime Manufacturing</c:v>
                </c:pt>
                <c:pt idx="5">
                  <c:v>Other Basic Non-Ferrous Metal Manufacturing</c:v>
                </c:pt>
                <c:pt idx="6">
                  <c:v>Fertiliser Manufacturing</c:v>
                </c:pt>
                <c:pt idx="7">
                  <c:v>Aircraft Manufacturing and Repair Services</c:v>
                </c:pt>
                <c:pt idx="8">
                  <c:v>Gas Supply</c:v>
                </c:pt>
                <c:pt idx="9">
                  <c:v>Basic Inorganic Chemical Manufacturing</c:v>
                </c:pt>
                <c:pt idx="10">
                  <c:v>Gold Ore Mining</c:v>
                </c:pt>
                <c:pt idx="11">
                  <c:v>Alumina Production</c:v>
                </c:pt>
                <c:pt idx="12">
                  <c:v>Iron Ore Mining</c:v>
                </c:pt>
                <c:pt idx="13">
                  <c:v>Rail Freight Transport</c:v>
                </c:pt>
                <c:pt idx="14">
                  <c:v>Air and Space Transport</c:v>
                </c:pt>
                <c:pt idx="15">
                  <c:v>Copper, Silver, Lead and Zinc Smelting and Refining</c:v>
                </c:pt>
                <c:pt idx="16">
                  <c:v>Glass and Glass Product Manufacturing</c:v>
                </c:pt>
                <c:pt idx="17">
                  <c:v>Petroleum Refining and Petroleum Fuel Manufacturing</c:v>
                </c:pt>
                <c:pt idx="18">
                  <c:v>Pulp, Paper and Paperboard Manufacturing</c:v>
                </c:pt>
                <c:pt idx="19">
                  <c:v>Port and Water Transport Terminal Operations</c:v>
                </c:pt>
                <c:pt idx="20">
                  <c:v>Mineral Sand Mining</c:v>
                </c:pt>
                <c:pt idx="21">
                  <c:v>Copper Ore Mining</c:v>
                </c:pt>
                <c:pt idx="22">
                  <c:v>Nickel Ore Mining</c:v>
                </c:pt>
                <c:pt idx="23">
                  <c:v>Aluminium Smelting</c:v>
                </c:pt>
                <c:pt idx="24">
                  <c:v>Silver-Lead-Zinc Ore Mining</c:v>
                </c:pt>
                <c:pt idx="25">
                  <c:v>Other Non-Metallic Mineral Product Manufacturing</c:v>
                </c:pt>
                <c:pt idx="26">
                  <c:v>Fossil Fuel Electricity Generation</c:v>
                </c:pt>
                <c:pt idx="27">
                  <c:v>Petroleum Product Wholesaling</c:v>
                </c:pt>
                <c:pt idx="28">
                  <c:v>Road Freight Transport</c:v>
                </c:pt>
                <c:pt idx="29">
                  <c:v>Water Freight Transport</c:v>
                </c:pt>
                <c:pt idx="30">
                  <c:v>Other Food Product Manufacturing n.e.c.</c:v>
                </c:pt>
                <c:pt idx="31">
                  <c:v>Sewerage and Drainage Services</c:v>
                </c:pt>
                <c:pt idx="32">
                  <c:v>Iron and Steel Casting</c:v>
                </c:pt>
                <c:pt idx="33">
                  <c:v>Urban Bus Transport (Including Tramway)</c:v>
                </c:pt>
                <c:pt idx="34">
                  <c:v>Explosive Manufacturing</c:v>
                </c:pt>
                <c:pt idx="35">
                  <c:v>Bauxite Mining</c:v>
                </c:pt>
                <c:pt idx="36">
                  <c:v>Other Metal Ore Mining</c:v>
                </c:pt>
                <c:pt idx="37">
                  <c:v>Synthetic Resin and Synthetic Rubber Manufacturing</c:v>
                </c:pt>
                <c:pt idx="38">
                  <c:v>Basic Organic Chemical Manufacturing</c:v>
                </c:pt>
                <c:pt idx="39">
                  <c:v>Rail Passenger Transport</c:v>
                </c:pt>
                <c:pt idx="40">
                  <c:v>Human Pharmaceutical and Medicinal Product Manufacturing</c:v>
                </c:pt>
                <c:pt idx="41">
                  <c:v>Water Passenger Transport</c:v>
                </c:pt>
                <c:pt idx="42">
                  <c:v>Accommodation</c:v>
                </c:pt>
                <c:pt idx="43">
                  <c:v>Adhesive Manufacturing</c:v>
                </c:pt>
                <c:pt idx="44">
                  <c:v>Airport Operations and Other Air Transport Support Services</c:v>
                </c:pt>
                <c:pt idx="45">
                  <c:v>Aluminium Rolling, Drawing, Extruding</c:v>
                </c:pt>
                <c:pt idx="46">
                  <c:v>Beef Cattle Farming (Specialised)</c:v>
                </c:pt>
                <c:pt idx="47">
                  <c:v>Beef Cattle Feedlots (Specialised)</c:v>
                </c:pt>
                <c:pt idx="48">
                  <c:v>Beer Manufacturing</c:v>
                </c:pt>
                <c:pt idx="49">
                  <c:v>Biscuit Manufacturing (Factory based)</c:v>
                </c:pt>
                <c:pt idx="50">
                  <c:v>Boatbuilding and Repair Services</c:v>
                </c:pt>
                <c:pt idx="51">
                  <c:v>Boiler, Tank and Other Heavy Gauge Metal Container Manufacturing</c:v>
                </c:pt>
                <c:pt idx="52">
                  <c:v>Bread Manufacturing (Factory based)</c:v>
                </c:pt>
                <c:pt idx="53">
                  <c:v>Cake and Pastry Manufacturing (Factory based)</c:v>
                </c:pt>
                <c:pt idx="54">
                  <c:v>Central Government Administration</c:v>
                </c:pt>
                <c:pt idx="55">
                  <c:v>Cereal, Pasta and Baking Mix Manufacturing</c:v>
                </c:pt>
                <c:pt idx="56">
                  <c:v>Cheese and Other Dairy Product Manufacturing</c:v>
                </c:pt>
                <c:pt idx="57">
                  <c:v>Cigarette and Tobacco Product Manufacturing</c:v>
                </c:pt>
                <c:pt idx="58">
                  <c:v>Clay Brick Manufacturing</c:v>
                </c:pt>
                <c:pt idx="59">
                  <c:v>Cleaning Compound Manufacturing</c:v>
                </c:pt>
                <c:pt idx="60">
                  <c:v>Clothing Manufacturing</c:v>
                </c:pt>
                <c:pt idx="61">
                  <c:v>Concrete Product Manufacturing</c:v>
                </c:pt>
                <c:pt idx="62">
                  <c:v>Concreting Services</c:v>
                </c:pt>
                <c:pt idx="63">
                  <c:v>Confectionery Manufacturing</c:v>
                </c:pt>
                <c:pt idx="64">
                  <c:v>Corrugated Paperboard and Paperboard Container Manufacturing</c:v>
                </c:pt>
                <c:pt idx="65">
                  <c:v>Cosmetic and Toiletry Preparation Manufacturing</c:v>
                </c:pt>
                <c:pt idx="66">
                  <c:v>Cured Meat and Smallgoods Manufacturing</c:v>
                </c:pt>
                <c:pt idx="67">
                  <c:v>Cut and Sewn Textile Product Manufacturing</c:v>
                </c:pt>
                <c:pt idx="68">
                  <c:v>Dairy Cattle Farming</c:v>
                </c:pt>
                <c:pt idx="69">
                  <c:v>Data Processing and Web Hosting Services</c:v>
                </c:pt>
                <c:pt idx="70">
                  <c:v>Defence</c:v>
                </c:pt>
                <c:pt idx="71">
                  <c:v>Electric Cable and Wire Manufacturing</c:v>
                </c:pt>
                <c:pt idx="72">
                  <c:v>Fixed Space Heating, Cooling and Ventilation Equipment Manufacturing</c:v>
                </c:pt>
                <c:pt idx="73">
                  <c:v>Fruit and Vegetable Processing</c:v>
                </c:pt>
                <c:pt idx="74">
                  <c:v>Funeral, Crematorium and Cemetery Services</c:v>
                </c:pt>
                <c:pt idx="75">
                  <c:v>Grain Mill Product Manufacturing</c:v>
                </c:pt>
                <c:pt idx="76">
                  <c:v>Grain Storage Services</c:v>
                </c:pt>
                <c:pt idx="77">
                  <c:v>Gravel and Sand Quarrying</c:v>
                </c:pt>
                <c:pt idx="78">
                  <c:v>Higher Education</c:v>
                </c:pt>
                <c:pt idx="79">
                  <c:v>Hospitals (Except Psychiatric Hospitals)</c:v>
                </c:pt>
                <c:pt idx="80">
                  <c:v>Hydro-Electricity Generation</c:v>
                </c:pt>
                <c:pt idx="81">
                  <c:v>Ice Cream Manufacturing</c:v>
                </c:pt>
                <c:pt idx="82">
                  <c:v>Industrial and Agricultural Chemical Product Wholesaling</c:v>
                </c:pt>
                <c:pt idx="83">
                  <c:v>Industrial Gas Manufacturing</c:v>
                </c:pt>
                <c:pt idx="84">
                  <c:v>Iron and Steel Forging</c:v>
                </c:pt>
                <c:pt idx="85">
                  <c:v>Jewellery and Silverware Manufacturing</c:v>
                </c:pt>
                <c:pt idx="86">
                  <c:v>Laundry and Dry-Cleaning Services</c:v>
                </c:pt>
                <c:pt idx="87">
                  <c:v>Leather Tanning, Fur Dressing and Leather Product Manufacturing</c:v>
                </c:pt>
                <c:pt idx="88">
                  <c:v>Log Sawmilling</c:v>
                </c:pt>
                <c:pt idx="89">
                  <c:v>Machine Tool and Parts Manufacturing</c:v>
                </c:pt>
                <c:pt idx="90">
                  <c:v>Meat Processing</c:v>
                </c:pt>
                <c:pt idx="91">
                  <c:v>Medical and Surgical Equipment Manufacturing</c:v>
                </c:pt>
                <c:pt idx="92">
                  <c:v>Metal Coating and Finishing</c:v>
                </c:pt>
                <c:pt idx="93">
                  <c:v>Milk and Cream Processing</c:v>
                </c:pt>
                <c:pt idx="94">
                  <c:v>Mineral Exploration</c:v>
                </c:pt>
                <c:pt idx="95">
                  <c:v>Mining and Construction Machinery Manufacturing</c:v>
                </c:pt>
                <c:pt idx="96">
                  <c:v>Motor Vehicle Manufacturing</c:v>
                </c:pt>
                <c:pt idx="97">
                  <c:v>Motor Vehicle New Parts Wholesaling</c:v>
                </c:pt>
                <c:pt idx="98">
                  <c:v>Natural Rubber Product Manufacturing</c:v>
                </c:pt>
                <c:pt idx="99">
                  <c:v>Natural Textile Manufacturing</c:v>
                </c:pt>
                <c:pt idx="100">
                  <c:v>Newspaper Publishing</c:v>
                </c:pt>
                <c:pt idx="101">
                  <c:v>Non-Ferrous Metal Casting</c:v>
                </c:pt>
                <c:pt idx="102">
                  <c:v>Nut, Bolt, Screw and Rivet Manufacturing</c:v>
                </c:pt>
                <c:pt idx="103">
                  <c:v>Office Administrative Services</c:v>
                </c:pt>
                <c:pt idx="104">
                  <c:v>Oil and Fat Manufacturing</c:v>
                </c:pt>
                <c:pt idx="105">
                  <c:v>Other Basic Chemical Product Manufacturing n.e.c.</c:v>
                </c:pt>
                <c:pt idx="106">
                  <c:v>Other Basic Non-Ferrous Metal Product Manufacturing</c:v>
                </c:pt>
                <c:pt idx="107">
                  <c:v>Other Basic Polymer Manufacturing</c:v>
                </c:pt>
                <c:pt idx="108">
                  <c:v>Other Ceramic Product Manufacturing</c:v>
                </c:pt>
                <c:pt idx="109">
                  <c:v>Other Construction Material Mining</c:v>
                </c:pt>
                <c:pt idx="110">
                  <c:v>Other Converted Paper Product Manufacturing</c:v>
                </c:pt>
                <c:pt idx="111">
                  <c:v>Other Electrical Equipment Manufacturing</c:v>
                </c:pt>
                <c:pt idx="112">
                  <c:v>Other Electricity Generation</c:v>
                </c:pt>
                <c:pt idx="113">
                  <c:v>Other Fabricated Metal Product Manufacturing n.e.c.</c:v>
                </c:pt>
                <c:pt idx="114">
                  <c:v>Other Manufacturing n.e.c.</c:v>
                </c:pt>
                <c:pt idx="115">
                  <c:v>Other Metal Container Manufacturing</c:v>
                </c:pt>
                <c:pt idx="116">
                  <c:v>Other Mining Support Services</c:v>
                </c:pt>
                <c:pt idx="117">
                  <c:v>Other Motor Vehicle Parts Manufacturing</c:v>
                </c:pt>
                <c:pt idx="118">
                  <c:v>Other Non-Metallic Mineral Mining and Quarrying</c:v>
                </c:pt>
                <c:pt idx="119">
                  <c:v>Other Petroleum and Coal Product Manufacturing</c:v>
                </c:pt>
                <c:pt idx="120">
                  <c:v>Other Polymer Product Manufacturing</c:v>
                </c:pt>
                <c:pt idx="121">
                  <c:v>Other Professional and Scientific Equipment Manufacturing</c:v>
                </c:pt>
                <c:pt idx="122">
                  <c:v>Other Specialised Machinery and Equipment Manufacturing</c:v>
                </c:pt>
                <c:pt idx="123">
                  <c:v>Other Structural Metal Product Manufacturing</c:v>
                </c:pt>
                <c:pt idx="124">
                  <c:v>Other Transport n.e.c.</c:v>
                </c:pt>
                <c:pt idx="125">
                  <c:v>Other Transport Support Services n.e.c.</c:v>
                </c:pt>
                <c:pt idx="126">
                  <c:v>Other Warehousing and Storage Services</c:v>
                </c:pt>
                <c:pt idx="127">
                  <c:v>Other Waste Collection Services</c:v>
                </c:pt>
                <c:pt idx="128">
                  <c:v>Other Wood Product Manufacturing n.e.c.</c:v>
                </c:pt>
                <c:pt idx="129">
                  <c:v>Packaging Services</c:v>
                </c:pt>
                <c:pt idx="130">
                  <c:v>Paint and Coatings Manufacturing</c:v>
                </c:pt>
                <c:pt idx="131">
                  <c:v>Paper Bag Manufacturing</c:v>
                </c:pt>
                <c:pt idx="132">
                  <c:v>Pesticide Manufacturing</c:v>
                </c:pt>
                <c:pt idx="133">
                  <c:v>Petroleum Exploration</c:v>
                </c:pt>
                <c:pt idx="134">
                  <c:v>Photographic, Optical and Ophthalmic Equipment Manufacturing</c:v>
                </c:pt>
                <c:pt idx="135">
                  <c:v>Pig Farming</c:v>
                </c:pt>
                <c:pt idx="136">
                  <c:v>Pipeline Transport</c:v>
                </c:pt>
                <c:pt idx="137">
                  <c:v>Plaster Product Manufacturing</c:v>
                </c:pt>
                <c:pt idx="138">
                  <c:v>Polymer Film and Sheet Packaging Material Manufacturing</c:v>
                </c:pt>
                <c:pt idx="139">
                  <c:v>Polymer Foam Product Manufacturing</c:v>
                </c:pt>
                <c:pt idx="140">
                  <c:v>Potato, Corn and Other Crisp Manufacturing</c:v>
                </c:pt>
                <c:pt idx="141">
                  <c:v>Poultry Farming (Eggs)</c:v>
                </c:pt>
                <c:pt idx="142">
                  <c:v>Poultry Farming (Meat)</c:v>
                </c:pt>
                <c:pt idx="143">
                  <c:v>Poultry Processing</c:v>
                </c:pt>
                <c:pt idx="144">
                  <c:v>Prepared Animal and Bird Feed Manufacturing</c:v>
                </c:pt>
                <c:pt idx="145">
                  <c:v>Printing</c:v>
                </c:pt>
                <c:pt idx="146">
                  <c:v>Printing Support Services</c:v>
                </c:pt>
                <c:pt idx="147">
                  <c:v>Railway Rolling Stock Manufacturing and Repair Services</c:v>
                </c:pt>
                <c:pt idx="148">
                  <c:v>Ready-Mixed Concrete Manufacturing</c:v>
                </c:pt>
                <c:pt idx="149">
                  <c:v>Reconstituted Wood Product Manufacturing</c:v>
                </c:pt>
                <c:pt idx="150">
                  <c:v>Rigid and Semi-Rigid Polymer Product Manufacturing</c:v>
                </c:pt>
                <c:pt idx="151">
                  <c:v>Scientific Research Services</c:v>
                </c:pt>
                <c:pt idx="152">
                  <c:v>Seafood Processing</c:v>
                </c:pt>
                <c:pt idx="153">
                  <c:v>Shipbuilding and Repair Services</c:v>
                </c:pt>
                <c:pt idx="154">
                  <c:v>Soft Drink, Cordial and Syrup Manufacturing</c:v>
                </c:pt>
                <c:pt idx="155">
                  <c:v>Solid Waste Collection Services</c:v>
                </c:pt>
                <c:pt idx="156">
                  <c:v>Spirit Manufacturing</c:v>
                </c:pt>
                <c:pt idx="157">
                  <c:v>Sports and Physical Recreation Venues, Grounds and Facilities Operation</c:v>
                </c:pt>
                <c:pt idx="158">
                  <c:v>Spring and Wire Product Manufacturing</c:v>
                </c:pt>
                <c:pt idx="159">
                  <c:v>Steel Pipe and Tube Manufacturing</c:v>
                </c:pt>
                <c:pt idx="160">
                  <c:v>Stevedoring Services</c:v>
                </c:pt>
                <c:pt idx="161">
                  <c:v>Structural Steel Fabricating</c:v>
                </c:pt>
                <c:pt idx="162">
                  <c:v>Sugar Manufacturing</c:v>
                </c:pt>
                <c:pt idx="163">
                  <c:v>Synthetic Textile Manufacturing</c:v>
                </c:pt>
                <c:pt idx="164">
                  <c:v>Textile Finishing and Other Textile Product Manufacturing</c:v>
                </c:pt>
                <c:pt idx="165">
                  <c:v>Textile Floor Covering Manufacturing</c:v>
                </c:pt>
                <c:pt idx="166">
                  <c:v>Timber Resawing and Dressing</c:v>
                </c:pt>
                <c:pt idx="167">
                  <c:v>Timber Wholesaling</c:v>
                </c:pt>
                <c:pt idx="168">
                  <c:v>Tyre Manufacturing</c:v>
                </c:pt>
                <c:pt idx="169">
                  <c:v>Veneer and Plywood Manufacturing</c:v>
                </c:pt>
                <c:pt idx="170">
                  <c:v>Veterinary Pharmaceutical and Medicinal Product Manufacturing</c:v>
                </c:pt>
                <c:pt idx="171">
                  <c:v>Waste Remediation and Materials Recovery Services</c:v>
                </c:pt>
                <c:pt idx="172">
                  <c:v>Water Supply</c:v>
                </c:pt>
                <c:pt idx="173">
                  <c:v>Whiteware Appliance Manufacturing</c:v>
                </c:pt>
                <c:pt idx="174">
                  <c:v>Wine and Other Alcoholic Beverage Manufacturing</c:v>
                </c:pt>
                <c:pt idx="175">
                  <c:v>Wood Chipping</c:v>
                </c:pt>
                <c:pt idx="176">
                  <c:v>Wooden Furniture and Upholstered Seat Manufacturing</c:v>
                </c:pt>
                <c:pt idx="177">
                  <c:v>Wooden Structural Fitting and Component Manufacturing</c:v>
                </c:pt>
                <c:pt idx="178">
                  <c:v>Wool Scouring</c:v>
                </c:pt>
              </c:strCache>
            </c:strRef>
          </c:cat>
          <c:val>
            <c:numRef>
              <c:f>'Figure 7 Headroom by activity'!$C$3:$C$181</c:f>
              <c:numCache>
                <c:formatCode>#,##0</c:formatCode>
                <c:ptCount val="179"/>
                <c:pt idx="0">
                  <c:v>22177713</c:v>
                </c:pt>
                <c:pt idx="1">
                  <c:v>16501161</c:v>
                </c:pt>
                <c:pt idx="2">
                  <c:v>4871407</c:v>
                </c:pt>
                <c:pt idx="3">
                  <c:v>2718275</c:v>
                </c:pt>
                <c:pt idx="4">
                  <c:v>1906680</c:v>
                </c:pt>
                <c:pt idx="5">
                  <c:v>1505553</c:v>
                </c:pt>
                <c:pt idx="6">
                  <c:v>977189</c:v>
                </c:pt>
                <c:pt idx="7">
                  <c:v>383315</c:v>
                </c:pt>
                <c:pt idx="8">
                  <c:v>925368</c:v>
                </c:pt>
                <c:pt idx="9">
                  <c:v>1227532</c:v>
                </c:pt>
                <c:pt idx="10">
                  <c:v>889092</c:v>
                </c:pt>
                <c:pt idx="11">
                  <c:v>422736</c:v>
                </c:pt>
                <c:pt idx="12">
                  <c:v>817630</c:v>
                </c:pt>
                <c:pt idx="13">
                  <c:v>557096</c:v>
                </c:pt>
                <c:pt idx="14">
                  <c:v>125959</c:v>
                </c:pt>
                <c:pt idx="15">
                  <c:v>310442</c:v>
                </c:pt>
                <c:pt idx="16">
                  <c:v>480061</c:v>
                </c:pt>
                <c:pt idx="17">
                  <c:v>198044</c:v>
                </c:pt>
                <c:pt idx="18">
                  <c:v>540498</c:v>
                </c:pt>
                <c:pt idx="19">
                  <c:v>223189</c:v>
                </c:pt>
                <c:pt idx="20">
                  <c:v>303101</c:v>
                </c:pt>
                <c:pt idx="21">
                  <c:v>333170</c:v>
                </c:pt>
                <c:pt idx="22">
                  <c:v>340584</c:v>
                </c:pt>
                <c:pt idx="23">
                  <c:v>235223</c:v>
                </c:pt>
                <c:pt idx="24">
                  <c:v>277564</c:v>
                </c:pt>
                <c:pt idx="25">
                  <c:v>132483</c:v>
                </c:pt>
                <c:pt idx="26">
                  <c:v>106831</c:v>
                </c:pt>
                <c:pt idx="27">
                  <c:v>100000</c:v>
                </c:pt>
                <c:pt idx="28">
                  <c:v>106545</c:v>
                </c:pt>
                <c:pt idx="29">
                  <c:v>97715</c:v>
                </c:pt>
                <c:pt idx="30">
                  <c:v>64461</c:v>
                </c:pt>
                <c:pt idx="31">
                  <c:v>36167</c:v>
                </c:pt>
                <c:pt idx="32">
                  <c:v>-110612</c:v>
                </c:pt>
                <c:pt idx="33">
                  <c:v>18702</c:v>
                </c:pt>
                <c:pt idx="34">
                  <c:v>-119086</c:v>
                </c:pt>
                <c:pt idx="35">
                  <c:v>-3313</c:v>
                </c:pt>
                <c:pt idx="36">
                  <c:v>10435</c:v>
                </c:pt>
                <c:pt idx="37">
                  <c:v>3729</c:v>
                </c:pt>
                <c:pt idx="38">
                  <c:v>1307</c:v>
                </c:pt>
                <c:pt idx="39">
                  <c:v>7065</c:v>
                </c:pt>
                <c:pt idx="40">
                  <c:v>0</c:v>
                </c:pt>
                <c:pt idx="41">
                  <c:v>-10416</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1-4447-43DB-BC74-3A4570973F37}"/>
            </c:ext>
          </c:extLst>
        </c:ser>
        <c:ser>
          <c:idx val="2"/>
          <c:order val="2"/>
          <c:tx>
            <c:v>2018-19</c:v>
          </c:tx>
          <c:spPr>
            <a:solidFill>
              <a:srgbClr val="37AD68"/>
            </a:solidFill>
            <a:ln cmpd="sng">
              <a:solidFill>
                <a:srgbClr val="000000"/>
              </a:solidFill>
            </a:ln>
          </c:spPr>
          <c:invertIfNegative val="1"/>
          <c:cat>
            <c:strRef>
              <c:f>'Figure 7 Headroom by activity'!$A$3:$A$181</c:f>
              <c:strCache>
                <c:ptCount val="179"/>
                <c:pt idx="0">
                  <c:v>Coal Mining</c:v>
                </c:pt>
                <c:pt idx="1">
                  <c:v>Oil and Gas Extraction</c:v>
                </c:pt>
                <c:pt idx="2">
                  <c:v>Iron Smelting and Steel Manufacturing</c:v>
                </c:pt>
                <c:pt idx="3">
                  <c:v>Waste Treatment and Disposal Services</c:v>
                </c:pt>
                <c:pt idx="4">
                  <c:v>Cement and Lime Manufacturing</c:v>
                </c:pt>
                <c:pt idx="5">
                  <c:v>Other Basic Non-Ferrous Metal Manufacturing</c:v>
                </c:pt>
                <c:pt idx="6">
                  <c:v>Fertiliser Manufacturing</c:v>
                </c:pt>
                <c:pt idx="7">
                  <c:v>Aircraft Manufacturing and Repair Services</c:v>
                </c:pt>
                <c:pt idx="8">
                  <c:v>Gas Supply</c:v>
                </c:pt>
                <c:pt idx="9">
                  <c:v>Basic Inorganic Chemical Manufacturing</c:v>
                </c:pt>
                <c:pt idx="10">
                  <c:v>Gold Ore Mining</c:v>
                </c:pt>
                <c:pt idx="11">
                  <c:v>Alumina Production</c:v>
                </c:pt>
                <c:pt idx="12">
                  <c:v>Iron Ore Mining</c:v>
                </c:pt>
                <c:pt idx="13">
                  <c:v>Rail Freight Transport</c:v>
                </c:pt>
                <c:pt idx="14">
                  <c:v>Air and Space Transport</c:v>
                </c:pt>
                <c:pt idx="15">
                  <c:v>Copper, Silver, Lead and Zinc Smelting and Refining</c:v>
                </c:pt>
                <c:pt idx="16">
                  <c:v>Glass and Glass Product Manufacturing</c:v>
                </c:pt>
                <c:pt idx="17">
                  <c:v>Petroleum Refining and Petroleum Fuel Manufacturing</c:v>
                </c:pt>
                <c:pt idx="18">
                  <c:v>Pulp, Paper and Paperboard Manufacturing</c:v>
                </c:pt>
                <c:pt idx="19">
                  <c:v>Port and Water Transport Terminal Operations</c:v>
                </c:pt>
                <c:pt idx="20">
                  <c:v>Mineral Sand Mining</c:v>
                </c:pt>
                <c:pt idx="21">
                  <c:v>Copper Ore Mining</c:v>
                </c:pt>
                <c:pt idx="22">
                  <c:v>Nickel Ore Mining</c:v>
                </c:pt>
                <c:pt idx="23">
                  <c:v>Aluminium Smelting</c:v>
                </c:pt>
                <c:pt idx="24">
                  <c:v>Silver-Lead-Zinc Ore Mining</c:v>
                </c:pt>
                <c:pt idx="25">
                  <c:v>Other Non-Metallic Mineral Product Manufacturing</c:v>
                </c:pt>
                <c:pt idx="26">
                  <c:v>Fossil Fuel Electricity Generation</c:v>
                </c:pt>
                <c:pt idx="27">
                  <c:v>Petroleum Product Wholesaling</c:v>
                </c:pt>
                <c:pt idx="28">
                  <c:v>Road Freight Transport</c:v>
                </c:pt>
                <c:pt idx="29">
                  <c:v>Water Freight Transport</c:v>
                </c:pt>
                <c:pt idx="30">
                  <c:v>Other Food Product Manufacturing n.e.c.</c:v>
                </c:pt>
                <c:pt idx="31">
                  <c:v>Sewerage and Drainage Services</c:v>
                </c:pt>
                <c:pt idx="32">
                  <c:v>Iron and Steel Casting</c:v>
                </c:pt>
                <c:pt idx="33">
                  <c:v>Urban Bus Transport (Including Tramway)</c:v>
                </c:pt>
                <c:pt idx="34">
                  <c:v>Explosive Manufacturing</c:v>
                </c:pt>
                <c:pt idx="35">
                  <c:v>Bauxite Mining</c:v>
                </c:pt>
                <c:pt idx="36">
                  <c:v>Other Metal Ore Mining</c:v>
                </c:pt>
                <c:pt idx="37">
                  <c:v>Synthetic Resin and Synthetic Rubber Manufacturing</c:v>
                </c:pt>
                <c:pt idx="38">
                  <c:v>Basic Organic Chemical Manufacturing</c:v>
                </c:pt>
                <c:pt idx="39">
                  <c:v>Rail Passenger Transport</c:v>
                </c:pt>
                <c:pt idx="40">
                  <c:v>Human Pharmaceutical and Medicinal Product Manufacturing</c:v>
                </c:pt>
                <c:pt idx="41">
                  <c:v>Water Passenger Transport</c:v>
                </c:pt>
                <c:pt idx="42">
                  <c:v>Accommodation</c:v>
                </c:pt>
                <c:pt idx="43">
                  <c:v>Adhesive Manufacturing</c:v>
                </c:pt>
                <c:pt idx="44">
                  <c:v>Airport Operations and Other Air Transport Support Services</c:v>
                </c:pt>
                <c:pt idx="45">
                  <c:v>Aluminium Rolling, Drawing, Extruding</c:v>
                </c:pt>
                <c:pt idx="46">
                  <c:v>Beef Cattle Farming (Specialised)</c:v>
                </c:pt>
                <c:pt idx="47">
                  <c:v>Beef Cattle Feedlots (Specialised)</c:v>
                </c:pt>
                <c:pt idx="48">
                  <c:v>Beer Manufacturing</c:v>
                </c:pt>
                <c:pt idx="49">
                  <c:v>Biscuit Manufacturing (Factory based)</c:v>
                </c:pt>
                <c:pt idx="50">
                  <c:v>Boatbuilding and Repair Services</c:v>
                </c:pt>
                <c:pt idx="51">
                  <c:v>Boiler, Tank and Other Heavy Gauge Metal Container Manufacturing</c:v>
                </c:pt>
                <c:pt idx="52">
                  <c:v>Bread Manufacturing (Factory based)</c:v>
                </c:pt>
                <c:pt idx="53">
                  <c:v>Cake and Pastry Manufacturing (Factory based)</c:v>
                </c:pt>
                <c:pt idx="54">
                  <c:v>Central Government Administration</c:v>
                </c:pt>
                <c:pt idx="55">
                  <c:v>Cereal, Pasta and Baking Mix Manufacturing</c:v>
                </c:pt>
                <c:pt idx="56">
                  <c:v>Cheese and Other Dairy Product Manufacturing</c:v>
                </c:pt>
                <c:pt idx="57">
                  <c:v>Cigarette and Tobacco Product Manufacturing</c:v>
                </c:pt>
                <c:pt idx="58">
                  <c:v>Clay Brick Manufacturing</c:v>
                </c:pt>
                <c:pt idx="59">
                  <c:v>Cleaning Compound Manufacturing</c:v>
                </c:pt>
                <c:pt idx="60">
                  <c:v>Clothing Manufacturing</c:v>
                </c:pt>
                <c:pt idx="61">
                  <c:v>Concrete Product Manufacturing</c:v>
                </c:pt>
                <c:pt idx="62">
                  <c:v>Concreting Services</c:v>
                </c:pt>
                <c:pt idx="63">
                  <c:v>Confectionery Manufacturing</c:v>
                </c:pt>
                <c:pt idx="64">
                  <c:v>Corrugated Paperboard and Paperboard Container Manufacturing</c:v>
                </c:pt>
                <c:pt idx="65">
                  <c:v>Cosmetic and Toiletry Preparation Manufacturing</c:v>
                </c:pt>
                <c:pt idx="66">
                  <c:v>Cured Meat and Smallgoods Manufacturing</c:v>
                </c:pt>
                <c:pt idx="67">
                  <c:v>Cut and Sewn Textile Product Manufacturing</c:v>
                </c:pt>
                <c:pt idx="68">
                  <c:v>Dairy Cattle Farming</c:v>
                </c:pt>
                <c:pt idx="69">
                  <c:v>Data Processing and Web Hosting Services</c:v>
                </c:pt>
                <c:pt idx="70">
                  <c:v>Defence</c:v>
                </c:pt>
                <c:pt idx="71">
                  <c:v>Electric Cable and Wire Manufacturing</c:v>
                </c:pt>
                <c:pt idx="72">
                  <c:v>Fixed Space Heating, Cooling and Ventilation Equipment Manufacturing</c:v>
                </c:pt>
                <c:pt idx="73">
                  <c:v>Fruit and Vegetable Processing</c:v>
                </c:pt>
                <c:pt idx="74">
                  <c:v>Funeral, Crematorium and Cemetery Services</c:v>
                </c:pt>
                <c:pt idx="75">
                  <c:v>Grain Mill Product Manufacturing</c:v>
                </c:pt>
                <c:pt idx="76">
                  <c:v>Grain Storage Services</c:v>
                </c:pt>
                <c:pt idx="77">
                  <c:v>Gravel and Sand Quarrying</c:v>
                </c:pt>
                <c:pt idx="78">
                  <c:v>Higher Education</c:v>
                </c:pt>
                <c:pt idx="79">
                  <c:v>Hospitals (Except Psychiatric Hospitals)</c:v>
                </c:pt>
                <c:pt idx="80">
                  <c:v>Hydro-Electricity Generation</c:v>
                </c:pt>
                <c:pt idx="81">
                  <c:v>Ice Cream Manufacturing</c:v>
                </c:pt>
                <c:pt idx="82">
                  <c:v>Industrial and Agricultural Chemical Product Wholesaling</c:v>
                </c:pt>
                <c:pt idx="83">
                  <c:v>Industrial Gas Manufacturing</c:v>
                </c:pt>
                <c:pt idx="84">
                  <c:v>Iron and Steel Forging</c:v>
                </c:pt>
                <c:pt idx="85">
                  <c:v>Jewellery and Silverware Manufacturing</c:v>
                </c:pt>
                <c:pt idx="86">
                  <c:v>Laundry and Dry-Cleaning Services</c:v>
                </c:pt>
                <c:pt idx="87">
                  <c:v>Leather Tanning, Fur Dressing and Leather Product Manufacturing</c:v>
                </c:pt>
                <c:pt idx="88">
                  <c:v>Log Sawmilling</c:v>
                </c:pt>
                <c:pt idx="89">
                  <c:v>Machine Tool and Parts Manufacturing</c:v>
                </c:pt>
                <c:pt idx="90">
                  <c:v>Meat Processing</c:v>
                </c:pt>
                <c:pt idx="91">
                  <c:v>Medical and Surgical Equipment Manufacturing</c:v>
                </c:pt>
                <c:pt idx="92">
                  <c:v>Metal Coating and Finishing</c:v>
                </c:pt>
                <c:pt idx="93">
                  <c:v>Milk and Cream Processing</c:v>
                </c:pt>
                <c:pt idx="94">
                  <c:v>Mineral Exploration</c:v>
                </c:pt>
                <c:pt idx="95">
                  <c:v>Mining and Construction Machinery Manufacturing</c:v>
                </c:pt>
                <c:pt idx="96">
                  <c:v>Motor Vehicle Manufacturing</c:v>
                </c:pt>
                <c:pt idx="97">
                  <c:v>Motor Vehicle New Parts Wholesaling</c:v>
                </c:pt>
                <c:pt idx="98">
                  <c:v>Natural Rubber Product Manufacturing</c:v>
                </c:pt>
                <c:pt idx="99">
                  <c:v>Natural Textile Manufacturing</c:v>
                </c:pt>
                <c:pt idx="100">
                  <c:v>Newspaper Publishing</c:v>
                </c:pt>
                <c:pt idx="101">
                  <c:v>Non-Ferrous Metal Casting</c:v>
                </c:pt>
                <c:pt idx="102">
                  <c:v>Nut, Bolt, Screw and Rivet Manufacturing</c:v>
                </c:pt>
                <c:pt idx="103">
                  <c:v>Office Administrative Services</c:v>
                </c:pt>
                <c:pt idx="104">
                  <c:v>Oil and Fat Manufacturing</c:v>
                </c:pt>
                <c:pt idx="105">
                  <c:v>Other Basic Chemical Product Manufacturing n.e.c.</c:v>
                </c:pt>
                <c:pt idx="106">
                  <c:v>Other Basic Non-Ferrous Metal Product Manufacturing</c:v>
                </c:pt>
                <c:pt idx="107">
                  <c:v>Other Basic Polymer Manufacturing</c:v>
                </c:pt>
                <c:pt idx="108">
                  <c:v>Other Ceramic Product Manufacturing</c:v>
                </c:pt>
                <c:pt idx="109">
                  <c:v>Other Construction Material Mining</c:v>
                </c:pt>
                <c:pt idx="110">
                  <c:v>Other Converted Paper Product Manufacturing</c:v>
                </c:pt>
                <c:pt idx="111">
                  <c:v>Other Electrical Equipment Manufacturing</c:v>
                </c:pt>
                <c:pt idx="112">
                  <c:v>Other Electricity Generation</c:v>
                </c:pt>
                <c:pt idx="113">
                  <c:v>Other Fabricated Metal Product Manufacturing n.e.c.</c:v>
                </c:pt>
                <c:pt idx="114">
                  <c:v>Other Manufacturing n.e.c.</c:v>
                </c:pt>
                <c:pt idx="115">
                  <c:v>Other Metal Container Manufacturing</c:v>
                </c:pt>
                <c:pt idx="116">
                  <c:v>Other Mining Support Services</c:v>
                </c:pt>
                <c:pt idx="117">
                  <c:v>Other Motor Vehicle Parts Manufacturing</c:v>
                </c:pt>
                <c:pt idx="118">
                  <c:v>Other Non-Metallic Mineral Mining and Quarrying</c:v>
                </c:pt>
                <c:pt idx="119">
                  <c:v>Other Petroleum and Coal Product Manufacturing</c:v>
                </c:pt>
                <c:pt idx="120">
                  <c:v>Other Polymer Product Manufacturing</c:v>
                </c:pt>
                <c:pt idx="121">
                  <c:v>Other Professional and Scientific Equipment Manufacturing</c:v>
                </c:pt>
                <c:pt idx="122">
                  <c:v>Other Specialised Machinery and Equipment Manufacturing</c:v>
                </c:pt>
                <c:pt idx="123">
                  <c:v>Other Structural Metal Product Manufacturing</c:v>
                </c:pt>
                <c:pt idx="124">
                  <c:v>Other Transport n.e.c.</c:v>
                </c:pt>
                <c:pt idx="125">
                  <c:v>Other Transport Support Services n.e.c.</c:v>
                </c:pt>
                <c:pt idx="126">
                  <c:v>Other Warehousing and Storage Services</c:v>
                </c:pt>
                <c:pt idx="127">
                  <c:v>Other Waste Collection Services</c:v>
                </c:pt>
                <c:pt idx="128">
                  <c:v>Other Wood Product Manufacturing n.e.c.</c:v>
                </c:pt>
                <c:pt idx="129">
                  <c:v>Packaging Services</c:v>
                </c:pt>
                <c:pt idx="130">
                  <c:v>Paint and Coatings Manufacturing</c:v>
                </c:pt>
                <c:pt idx="131">
                  <c:v>Paper Bag Manufacturing</c:v>
                </c:pt>
                <c:pt idx="132">
                  <c:v>Pesticide Manufacturing</c:v>
                </c:pt>
                <c:pt idx="133">
                  <c:v>Petroleum Exploration</c:v>
                </c:pt>
                <c:pt idx="134">
                  <c:v>Photographic, Optical and Ophthalmic Equipment Manufacturing</c:v>
                </c:pt>
                <c:pt idx="135">
                  <c:v>Pig Farming</c:v>
                </c:pt>
                <c:pt idx="136">
                  <c:v>Pipeline Transport</c:v>
                </c:pt>
                <c:pt idx="137">
                  <c:v>Plaster Product Manufacturing</c:v>
                </c:pt>
                <c:pt idx="138">
                  <c:v>Polymer Film and Sheet Packaging Material Manufacturing</c:v>
                </c:pt>
                <c:pt idx="139">
                  <c:v>Polymer Foam Product Manufacturing</c:v>
                </c:pt>
                <c:pt idx="140">
                  <c:v>Potato, Corn and Other Crisp Manufacturing</c:v>
                </c:pt>
                <c:pt idx="141">
                  <c:v>Poultry Farming (Eggs)</c:v>
                </c:pt>
                <c:pt idx="142">
                  <c:v>Poultry Farming (Meat)</c:v>
                </c:pt>
                <c:pt idx="143">
                  <c:v>Poultry Processing</c:v>
                </c:pt>
                <c:pt idx="144">
                  <c:v>Prepared Animal and Bird Feed Manufacturing</c:v>
                </c:pt>
                <c:pt idx="145">
                  <c:v>Printing</c:v>
                </c:pt>
                <c:pt idx="146">
                  <c:v>Printing Support Services</c:v>
                </c:pt>
                <c:pt idx="147">
                  <c:v>Railway Rolling Stock Manufacturing and Repair Services</c:v>
                </c:pt>
                <c:pt idx="148">
                  <c:v>Ready-Mixed Concrete Manufacturing</c:v>
                </c:pt>
                <c:pt idx="149">
                  <c:v>Reconstituted Wood Product Manufacturing</c:v>
                </c:pt>
                <c:pt idx="150">
                  <c:v>Rigid and Semi-Rigid Polymer Product Manufacturing</c:v>
                </c:pt>
                <c:pt idx="151">
                  <c:v>Scientific Research Services</c:v>
                </c:pt>
                <c:pt idx="152">
                  <c:v>Seafood Processing</c:v>
                </c:pt>
                <c:pt idx="153">
                  <c:v>Shipbuilding and Repair Services</c:v>
                </c:pt>
                <c:pt idx="154">
                  <c:v>Soft Drink, Cordial and Syrup Manufacturing</c:v>
                </c:pt>
                <c:pt idx="155">
                  <c:v>Solid Waste Collection Services</c:v>
                </c:pt>
                <c:pt idx="156">
                  <c:v>Spirit Manufacturing</c:v>
                </c:pt>
                <c:pt idx="157">
                  <c:v>Sports and Physical Recreation Venues, Grounds and Facilities Operation</c:v>
                </c:pt>
                <c:pt idx="158">
                  <c:v>Spring and Wire Product Manufacturing</c:v>
                </c:pt>
                <c:pt idx="159">
                  <c:v>Steel Pipe and Tube Manufacturing</c:v>
                </c:pt>
                <c:pt idx="160">
                  <c:v>Stevedoring Services</c:v>
                </c:pt>
                <c:pt idx="161">
                  <c:v>Structural Steel Fabricating</c:v>
                </c:pt>
                <c:pt idx="162">
                  <c:v>Sugar Manufacturing</c:v>
                </c:pt>
                <c:pt idx="163">
                  <c:v>Synthetic Textile Manufacturing</c:v>
                </c:pt>
                <c:pt idx="164">
                  <c:v>Textile Finishing and Other Textile Product Manufacturing</c:v>
                </c:pt>
                <c:pt idx="165">
                  <c:v>Textile Floor Covering Manufacturing</c:v>
                </c:pt>
                <c:pt idx="166">
                  <c:v>Timber Resawing and Dressing</c:v>
                </c:pt>
                <c:pt idx="167">
                  <c:v>Timber Wholesaling</c:v>
                </c:pt>
                <c:pt idx="168">
                  <c:v>Tyre Manufacturing</c:v>
                </c:pt>
                <c:pt idx="169">
                  <c:v>Veneer and Plywood Manufacturing</c:v>
                </c:pt>
                <c:pt idx="170">
                  <c:v>Veterinary Pharmaceutical and Medicinal Product Manufacturing</c:v>
                </c:pt>
                <c:pt idx="171">
                  <c:v>Waste Remediation and Materials Recovery Services</c:v>
                </c:pt>
                <c:pt idx="172">
                  <c:v>Water Supply</c:v>
                </c:pt>
                <c:pt idx="173">
                  <c:v>Whiteware Appliance Manufacturing</c:v>
                </c:pt>
                <c:pt idx="174">
                  <c:v>Wine and Other Alcoholic Beverage Manufacturing</c:v>
                </c:pt>
                <c:pt idx="175">
                  <c:v>Wood Chipping</c:v>
                </c:pt>
                <c:pt idx="176">
                  <c:v>Wooden Furniture and Upholstered Seat Manufacturing</c:v>
                </c:pt>
                <c:pt idx="177">
                  <c:v>Wooden Structural Fitting and Component Manufacturing</c:v>
                </c:pt>
                <c:pt idx="178">
                  <c:v>Wool Scouring</c:v>
                </c:pt>
              </c:strCache>
            </c:strRef>
          </c:cat>
          <c:val>
            <c:numRef>
              <c:f>'Figure 7 Headroom by activity'!$D$3:$D$181</c:f>
              <c:numCache>
                <c:formatCode>#,##0</c:formatCode>
                <c:ptCount val="179"/>
                <c:pt idx="0">
                  <c:v>25636842</c:v>
                </c:pt>
                <c:pt idx="1">
                  <c:v>8637215</c:v>
                </c:pt>
                <c:pt idx="2">
                  <c:v>5049701</c:v>
                </c:pt>
                <c:pt idx="3">
                  <c:v>2604871</c:v>
                </c:pt>
                <c:pt idx="4">
                  <c:v>1841517</c:v>
                </c:pt>
                <c:pt idx="5">
                  <c:v>1502192</c:v>
                </c:pt>
                <c:pt idx="6">
                  <c:v>1482614</c:v>
                </c:pt>
                <c:pt idx="7">
                  <c:v>409096</c:v>
                </c:pt>
                <c:pt idx="8">
                  <c:v>1136253</c:v>
                </c:pt>
                <c:pt idx="9">
                  <c:v>1083243</c:v>
                </c:pt>
                <c:pt idx="10">
                  <c:v>919620</c:v>
                </c:pt>
                <c:pt idx="11">
                  <c:v>717692</c:v>
                </c:pt>
                <c:pt idx="12">
                  <c:v>717386</c:v>
                </c:pt>
                <c:pt idx="13">
                  <c:v>702603</c:v>
                </c:pt>
                <c:pt idx="14">
                  <c:v>223303</c:v>
                </c:pt>
                <c:pt idx="15">
                  <c:v>486476</c:v>
                </c:pt>
                <c:pt idx="16">
                  <c:v>484428</c:v>
                </c:pt>
                <c:pt idx="17">
                  <c:v>225718</c:v>
                </c:pt>
                <c:pt idx="18">
                  <c:v>552430</c:v>
                </c:pt>
                <c:pt idx="19">
                  <c:v>146499</c:v>
                </c:pt>
                <c:pt idx="20">
                  <c:v>327470</c:v>
                </c:pt>
                <c:pt idx="21">
                  <c:v>365962</c:v>
                </c:pt>
                <c:pt idx="22">
                  <c:v>351943</c:v>
                </c:pt>
                <c:pt idx="23">
                  <c:v>304865</c:v>
                </c:pt>
                <c:pt idx="24">
                  <c:v>150479</c:v>
                </c:pt>
                <c:pt idx="25">
                  <c:v>71166</c:v>
                </c:pt>
                <c:pt idx="26">
                  <c:v>106831</c:v>
                </c:pt>
                <c:pt idx="27">
                  <c:v>100000</c:v>
                </c:pt>
                <c:pt idx="28">
                  <c:v>76954</c:v>
                </c:pt>
                <c:pt idx="29">
                  <c:v>108747</c:v>
                </c:pt>
                <c:pt idx="30">
                  <c:v>39668</c:v>
                </c:pt>
                <c:pt idx="31">
                  <c:v>67760</c:v>
                </c:pt>
                <c:pt idx="32">
                  <c:v>139287</c:v>
                </c:pt>
                <c:pt idx="33">
                  <c:v>47527</c:v>
                </c:pt>
                <c:pt idx="34">
                  <c:v>-249955</c:v>
                </c:pt>
                <c:pt idx="35">
                  <c:v>55379</c:v>
                </c:pt>
                <c:pt idx="36">
                  <c:v>20318</c:v>
                </c:pt>
                <c:pt idx="37">
                  <c:v>5913</c:v>
                </c:pt>
                <c:pt idx="38">
                  <c:v>19991</c:v>
                </c:pt>
                <c:pt idx="39">
                  <c:v>-652</c:v>
                </c:pt>
                <c:pt idx="40">
                  <c:v>0</c:v>
                </c:pt>
                <c:pt idx="41">
                  <c:v>-12572</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2-4447-43DB-BC74-3A4570973F37}"/>
            </c:ext>
          </c:extLst>
        </c:ser>
        <c:ser>
          <c:idx val="3"/>
          <c:order val="3"/>
          <c:tx>
            <c:v>2019-20</c:v>
          </c:tx>
          <c:spPr>
            <a:solidFill>
              <a:srgbClr val="00B398"/>
            </a:solidFill>
            <a:ln cmpd="sng">
              <a:solidFill>
                <a:srgbClr val="000000"/>
              </a:solidFill>
            </a:ln>
          </c:spPr>
          <c:invertIfNegative val="1"/>
          <c:cat>
            <c:strRef>
              <c:f>'Figure 7 Headroom by activity'!$A$3:$A$181</c:f>
              <c:strCache>
                <c:ptCount val="179"/>
                <c:pt idx="0">
                  <c:v>Coal Mining</c:v>
                </c:pt>
                <c:pt idx="1">
                  <c:v>Oil and Gas Extraction</c:v>
                </c:pt>
                <c:pt idx="2">
                  <c:v>Iron Smelting and Steel Manufacturing</c:v>
                </c:pt>
                <c:pt idx="3">
                  <c:v>Waste Treatment and Disposal Services</c:v>
                </c:pt>
                <c:pt idx="4">
                  <c:v>Cement and Lime Manufacturing</c:v>
                </c:pt>
                <c:pt idx="5">
                  <c:v>Other Basic Non-Ferrous Metal Manufacturing</c:v>
                </c:pt>
                <c:pt idx="6">
                  <c:v>Fertiliser Manufacturing</c:v>
                </c:pt>
                <c:pt idx="7">
                  <c:v>Aircraft Manufacturing and Repair Services</c:v>
                </c:pt>
                <c:pt idx="8">
                  <c:v>Gas Supply</c:v>
                </c:pt>
                <c:pt idx="9">
                  <c:v>Basic Inorganic Chemical Manufacturing</c:v>
                </c:pt>
                <c:pt idx="10">
                  <c:v>Gold Ore Mining</c:v>
                </c:pt>
                <c:pt idx="11">
                  <c:v>Alumina Production</c:v>
                </c:pt>
                <c:pt idx="12">
                  <c:v>Iron Ore Mining</c:v>
                </c:pt>
                <c:pt idx="13">
                  <c:v>Rail Freight Transport</c:v>
                </c:pt>
                <c:pt idx="14">
                  <c:v>Air and Space Transport</c:v>
                </c:pt>
                <c:pt idx="15">
                  <c:v>Copper, Silver, Lead and Zinc Smelting and Refining</c:v>
                </c:pt>
                <c:pt idx="16">
                  <c:v>Glass and Glass Product Manufacturing</c:v>
                </c:pt>
                <c:pt idx="17">
                  <c:v>Petroleum Refining and Petroleum Fuel Manufacturing</c:v>
                </c:pt>
                <c:pt idx="18">
                  <c:v>Pulp, Paper and Paperboard Manufacturing</c:v>
                </c:pt>
                <c:pt idx="19">
                  <c:v>Port and Water Transport Terminal Operations</c:v>
                </c:pt>
                <c:pt idx="20">
                  <c:v>Mineral Sand Mining</c:v>
                </c:pt>
                <c:pt idx="21">
                  <c:v>Copper Ore Mining</c:v>
                </c:pt>
                <c:pt idx="22">
                  <c:v>Nickel Ore Mining</c:v>
                </c:pt>
                <c:pt idx="23">
                  <c:v>Aluminium Smelting</c:v>
                </c:pt>
                <c:pt idx="24">
                  <c:v>Silver-Lead-Zinc Ore Mining</c:v>
                </c:pt>
                <c:pt idx="25">
                  <c:v>Other Non-Metallic Mineral Product Manufacturing</c:v>
                </c:pt>
                <c:pt idx="26">
                  <c:v>Fossil Fuel Electricity Generation</c:v>
                </c:pt>
                <c:pt idx="27">
                  <c:v>Petroleum Product Wholesaling</c:v>
                </c:pt>
                <c:pt idx="28">
                  <c:v>Road Freight Transport</c:v>
                </c:pt>
                <c:pt idx="29">
                  <c:v>Water Freight Transport</c:v>
                </c:pt>
                <c:pt idx="30">
                  <c:v>Other Food Product Manufacturing n.e.c.</c:v>
                </c:pt>
                <c:pt idx="31">
                  <c:v>Sewerage and Drainage Services</c:v>
                </c:pt>
                <c:pt idx="32">
                  <c:v>Iron and Steel Casting</c:v>
                </c:pt>
                <c:pt idx="33">
                  <c:v>Urban Bus Transport (Including Tramway)</c:v>
                </c:pt>
                <c:pt idx="34">
                  <c:v>Explosive Manufacturing</c:v>
                </c:pt>
                <c:pt idx="35">
                  <c:v>Bauxite Mining</c:v>
                </c:pt>
                <c:pt idx="36">
                  <c:v>Other Metal Ore Mining</c:v>
                </c:pt>
                <c:pt idx="37">
                  <c:v>Synthetic Resin and Synthetic Rubber Manufacturing</c:v>
                </c:pt>
                <c:pt idx="38">
                  <c:v>Basic Organic Chemical Manufacturing</c:v>
                </c:pt>
                <c:pt idx="39">
                  <c:v>Rail Passenger Transport</c:v>
                </c:pt>
                <c:pt idx="40">
                  <c:v>Human Pharmaceutical and Medicinal Product Manufacturing</c:v>
                </c:pt>
                <c:pt idx="41">
                  <c:v>Water Passenger Transport</c:v>
                </c:pt>
                <c:pt idx="42">
                  <c:v>Accommodation</c:v>
                </c:pt>
                <c:pt idx="43">
                  <c:v>Adhesive Manufacturing</c:v>
                </c:pt>
                <c:pt idx="44">
                  <c:v>Airport Operations and Other Air Transport Support Services</c:v>
                </c:pt>
                <c:pt idx="45">
                  <c:v>Aluminium Rolling, Drawing, Extruding</c:v>
                </c:pt>
                <c:pt idx="46">
                  <c:v>Beef Cattle Farming (Specialised)</c:v>
                </c:pt>
                <c:pt idx="47">
                  <c:v>Beef Cattle Feedlots (Specialised)</c:v>
                </c:pt>
                <c:pt idx="48">
                  <c:v>Beer Manufacturing</c:v>
                </c:pt>
                <c:pt idx="49">
                  <c:v>Biscuit Manufacturing (Factory based)</c:v>
                </c:pt>
                <c:pt idx="50">
                  <c:v>Boatbuilding and Repair Services</c:v>
                </c:pt>
                <c:pt idx="51">
                  <c:v>Boiler, Tank and Other Heavy Gauge Metal Container Manufacturing</c:v>
                </c:pt>
                <c:pt idx="52">
                  <c:v>Bread Manufacturing (Factory based)</c:v>
                </c:pt>
                <c:pt idx="53">
                  <c:v>Cake and Pastry Manufacturing (Factory based)</c:v>
                </c:pt>
                <c:pt idx="54">
                  <c:v>Central Government Administration</c:v>
                </c:pt>
                <c:pt idx="55">
                  <c:v>Cereal, Pasta and Baking Mix Manufacturing</c:v>
                </c:pt>
                <c:pt idx="56">
                  <c:v>Cheese and Other Dairy Product Manufacturing</c:v>
                </c:pt>
                <c:pt idx="57">
                  <c:v>Cigarette and Tobacco Product Manufacturing</c:v>
                </c:pt>
                <c:pt idx="58">
                  <c:v>Clay Brick Manufacturing</c:v>
                </c:pt>
                <c:pt idx="59">
                  <c:v>Cleaning Compound Manufacturing</c:v>
                </c:pt>
                <c:pt idx="60">
                  <c:v>Clothing Manufacturing</c:v>
                </c:pt>
                <c:pt idx="61">
                  <c:v>Concrete Product Manufacturing</c:v>
                </c:pt>
                <c:pt idx="62">
                  <c:v>Concreting Services</c:v>
                </c:pt>
                <c:pt idx="63">
                  <c:v>Confectionery Manufacturing</c:v>
                </c:pt>
                <c:pt idx="64">
                  <c:v>Corrugated Paperboard and Paperboard Container Manufacturing</c:v>
                </c:pt>
                <c:pt idx="65">
                  <c:v>Cosmetic and Toiletry Preparation Manufacturing</c:v>
                </c:pt>
                <c:pt idx="66">
                  <c:v>Cured Meat and Smallgoods Manufacturing</c:v>
                </c:pt>
                <c:pt idx="67">
                  <c:v>Cut and Sewn Textile Product Manufacturing</c:v>
                </c:pt>
                <c:pt idx="68">
                  <c:v>Dairy Cattle Farming</c:v>
                </c:pt>
                <c:pt idx="69">
                  <c:v>Data Processing and Web Hosting Services</c:v>
                </c:pt>
                <c:pt idx="70">
                  <c:v>Defence</c:v>
                </c:pt>
                <c:pt idx="71">
                  <c:v>Electric Cable and Wire Manufacturing</c:v>
                </c:pt>
                <c:pt idx="72">
                  <c:v>Fixed Space Heating, Cooling and Ventilation Equipment Manufacturing</c:v>
                </c:pt>
                <c:pt idx="73">
                  <c:v>Fruit and Vegetable Processing</c:v>
                </c:pt>
                <c:pt idx="74">
                  <c:v>Funeral, Crematorium and Cemetery Services</c:v>
                </c:pt>
                <c:pt idx="75">
                  <c:v>Grain Mill Product Manufacturing</c:v>
                </c:pt>
                <c:pt idx="76">
                  <c:v>Grain Storage Services</c:v>
                </c:pt>
                <c:pt idx="77">
                  <c:v>Gravel and Sand Quarrying</c:v>
                </c:pt>
                <c:pt idx="78">
                  <c:v>Higher Education</c:v>
                </c:pt>
                <c:pt idx="79">
                  <c:v>Hospitals (Except Psychiatric Hospitals)</c:v>
                </c:pt>
                <c:pt idx="80">
                  <c:v>Hydro-Electricity Generation</c:v>
                </c:pt>
                <c:pt idx="81">
                  <c:v>Ice Cream Manufacturing</c:v>
                </c:pt>
                <c:pt idx="82">
                  <c:v>Industrial and Agricultural Chemical Product Wholesaling</c:v>
                </c:pt>
                <c:pt idx="83">
                  <c:v>Industrial Gas Manufacturing</c:v>
                </c:pt>
                <c:pt idx="84">
                  <c:v>Iron and Steel Forging</c:v>
                </c:pt>
                <c:pt idx="85">
                  <c:v>Jewellery and Silverware Manufacturing</c:v>
                </c:pt>
                <c:pt idx="86">
                  <c:v>Laundry and Dry-Cleaning Services</c:v>
                </c:pt>
                <c:pt idx="87">
                  <c:v>Leather Tanning, Fur Dressing and Leather Product Manufacturing</c:v>
                </c:pt>
                <c:pt idx="88">
                  <c:v>Log Sawmilling</c:v>
                </c:pt>
                <c:pt idx="89">
                  <c:v>Machine Tool and Parts Manufacturing</c:v>
                </c:pt>
                <c:pt idx="90">
                  <c:v>Meat Processing</c:v>
                </c:pt>
                <c:pt idx="91">
                  <c:v>Medical and Surgical Equipment Manufacturing</c:v>
                </c:pt>
                <c:pt idx="92">
                  <c:v>Metal Coating and Finishing</c:v>
                </c:pt>
                <c:pt idx="93">
                  <c:v>Milk and Cream Processing</c:v>
                </c:pt>
                <c:pt idx="94">
                  <c:v>Mineral Exploration</c:v>
                </c:pt>
                <c:pt idx="95">
                  <c:v>Mining and Construction Machinery Manufacturing</c:v>
                </c:pt>
                <c:pt idx="96">
                  <c:v>Motor Vehicle Manufacturing</c:v>
                </c:pt>
                <c:pt idx="97">
                  <c:v>Motor Vehicle New Parts Wholesaling</c:v>
                </c:pt>
                <c:pt idx="98">
                  <c:v>Natural Rubber Product Manufacturing</c:v>
                </c:pt>
                <c:pt idx="99">
                  <c:v>Natural Textile Manufacturing</c:v>
                </c:pt>
                <c:pt idx="100">
                  <c:v>Newspaper Publishing</c:v>
                </c:pt>
                <c:pt idx="101">
                  <c:v>Non-Ferrous Metal Casting</c:v>
                </c:pt>
                <c:pt idx="102">
                  <c:v>Nut, Bolt, Screw and Rivet Manufacturing</c:v>
                </c:pt>
                <c:pt idx="103">
                  <c:v>Office Administrative Services</c:v>
                </c:pt>
                <c:pt idx="104">
                  <c:v>Oil and Fat Manufacturing</c:v>
                </c:pt>
                <c:pt idx="105">
                  <c:v>Other Basic Chemical Product Manufacturing n.e.c.</c:v>
                </c:pt>
                <c:pt idx="106">
                  <c:v>Other Basic Non-Ferrous Metal Product Manufacturing</c:v>
                </c:pt>
                <c:pt idx="107">
                  <c:v>Other Basic Polymer Manufacturing</c:v>
                </c:pt>
                <c:pt idx="108">
                  <c:v>Other Ceramic Product Manufacturing</c:v>
                </c:pt>
                <c:pt idx="109">
                  <c:v>Other Construction Material Mining</c:v>
                </c:pt>
                <c:pt idx="110">
                  <c:v>Other Converted Paper Product Manufacturing</c:v>
                </c:pt>
                <c:pt idx="111">
                  <c:v>Other Electrical Equipment Manufacturing</c:v>
                </c:pt>
                <c:pt idx="112">
                  <c:v>Other Electricity Generation</c:v>
                </c:pt>
                <c:pt idx="113">
                  <c:v>Other Fabricated Metal Product Manufacturing n.e.c.</c:v>
                </c:pt>
                <c:pt idx="114">
                  <c:v>Other Manufacturing n.e.c.</c:v>
                </c:pt>
                <c:pt idx="115">
                  <c:v>Other Metal Container Manufacturing</c:v>
                </c:pt>
                <c:pt idx="116">
                  <c:v>Other Mining Support Services</c:v>
                </c:pt>
                <c:pt idx="117">
                  <c:v>Other Motor Vehicle Parts Manufacturing</c:v>
                </c:pt>
                <c:pt idx="118">
                  <c:v>Other Non-Metallic Mineral Mining and Quarrying</c:v>
                </c:pt>
                <c:pt idx="119">
                  <c:v>Other Petroleum and Coal Product Manufacturing</c:v>
                </c:pt>
                <c:pt idx="120">
                  <c:v>Other Polymer Product Manufacturing</c:v>
                </c:pt>
                <c:pt idx="121">
                  <c:v>Other Professional and Scientific Equipment Manufacturing</c:v>
                </c:pt>
                <c:pt idx="122">
                  <c:v>Other Specialised Machinery and Equipment Manufacturing</c:v>
                </c:pt>
                <c:pt idx="123">
                  <c:v>Other Structural Metal Product Manufacturing</c:v>
                </c:pt>
                <c:pt idx="124">
                  <c:v>Other Transport n.e.c.</c:v>
                </c:pt>
                <c:pt idx="125">
                  <c:v>Other Transport Support Services n.e.c.</c:v>
                </c:pt>
                <c:pt idx="126">
                  <c:v>Other Warehousing and Storage Services</c:v>
                </c:pt>
                <c:pt idx="127">
                  <c:v>Other Waste Collection Services</c:v>
                </c:pt>
                <c:pt idx="128">
                  <c:v>Other Wood Product Manufacturing n.e.c.</c:v>
                </c:pt>
                <c:pt idx="129">
                  <c:v>Packaging Services</c:v>
                </c:pt>
                <c:pt idx="130">
                  <c:v>Paint and Coatings Manufacturing</c:v>
                </c:pt>
                <c:pt idx="131">
                  <c:v>Paper Bag Manufacturing</c:v>
                </c:pt>
                <c:pt idx="132">
                  <c:v>Pesticide Manufacturing</c:v>
                </c:pt>
                <c:pt idx="133">
                  <c:v>Petroleum Exploration</c:v>
                </c:pt>
                <c:pt idx="134">
                  <c:v>Photographic, Optical and Ophthalmic Equipment Manufacturing</c:v>
                </c:pt>
                <c:pt idx="135">
                  <c:v>Pig Farming</c:v>
                </c:pt>
                <c:pt idx="136">
                  <c:v>Pipeline Transport</c:v>
                </c:pt>
                <c:pt idx="137">
                  <c:v>Plaster Product Manufacturing</c:v>
                </c:pt>
                <c:pt idx="138">
                  <c:v>Polymer Film and Sheet Packaging Material Manufacturing</c:v>
                </c:pt>
                <c:pt idx="139">
                  <c:v>Polymer Foam Product Manufacturing</c:v>
                </c:pt>
                <c:pt idx="140">
                  <c:v>Potato, Corn and Other Crisp Manufacturing</c:v>
                </c:pt>
                <c:pt idx="141">
                  <c:v>Poultry Farming (Eggs)</c:v>
                </c:pt>
                <c:pt idx="142">
                  <c:v>Poultry Farming (Meat)</c:v>
                </c:pt>
                <c:pt idx="143">
                  <c:v>Poultry Processing</c:v>
                </c:pt>
                <c:pt idx="144">
                  <c:v>Prepared Animal and Bird Feed Manufacturing</c:v>
                </c:pt>
                <c:pt idx="145">
                  <c:v>Printing</c:v>
                </c:pt>
                <c:pt idx="146">
                  <c:v>Printing Support Services</c:v>
                </c:pt>
                <c:pt idx="147">
                  <c:v>Railway Rolling Stock Manufacturing and Repair Services</c:v>
                </c:pt>
                <c:pt idx="148">
                  <c:v>Ready-Mixed Concrete Manufacturing</c:v>
                </c:pt>
                <c:pt idx="149">
                  <c:v>Reconstituted Wood Product Manufacturing</c:v>
                </c:pt>
                <c:pt idx="150">
                  <c:v>Rigid and Semi-Rigid Polymer Product Manufacturing</c:v>
                </c:pt>
                <c:pt idx="151">
                  <c:v>Scientific Research Services</c:v>
                </c:pt>
                <c:pt idx="152">
                  <c:v>Seafood Processing</c:v>
                </c:pt>
                <c:pt idx="153">
                  <c:v>Shipbuilding and Repair Services</c:v>
                </c:pt>
                <c:pt idx="154">
                  <c:v>Soft Drink, Cordial and Syrup Manufacturing</c:v>
                </c:pt>
                <c:pt idx="155">
                  <c:v>Solid Waste Collection Services</c:v>
                </c:pt>
                <c:pt idx="156">
                  <c:v>Spirit Manufacturing</c:v>
                </c:pt>
                <c:pt idx="157">
                  <c:v>Sports and Physical Recreation Venues, Grounds and Facilities Operation</c:v>
                </c:pt>
                <c:pt idx="158">
                  <c:v>Spring and Wire Product Manufacturing</c:v>
                </c:pt>
                <c:pt idx="159">
                  <c:v>Steel Pipe and Tube Manufacturing</c:v>
                </c:pt>
                <c:pt idx="160">
                  <c:v>Stevedoring Services</c:v>
                </c:pt>
                <c:pt idx="161">
                  <c:v>Structural Steel Fabricating</c:v>
                </c:pt>
                <c:pt idx="162">
                  <c:v>Sugar Manufacturing</c:v>
                </c:pt>
                <c:pt idx="163">
                  <c:v>Synthetic Textile Manufacturing</c:v>
                </c:pt>
                <c:pt idx="164">
                  <c:v>Textile Finishing and Other Textile Product Manufacturing</c:v>
                </c:pt>
                <c:pt idx="165">
                  <c:v>Textile Floor Covering Manufacturing</c:v>
                </c:pt>
                <c:pt idx="166">
                  <c:v>Timber Resawing and Dressing</c:v>
                </c:pt>
                <c:pt idx="167">
                  <c:v>Timber Wholesaling</c:v>
                </c:pt>
                <c:pt idx="168">
                  <c:v>Tyre Manufacturing</c:v>
                </c:pt>
                <c:pt idx="169">
                  <c:v>Veneer and Plywood Manufacturing</c:v>
                </c:pt>
                <c:pt idx="170">
                  <c:v>Veterinary Pharmaceutical and Medicinal Product Manufacturing</c:v>
                </c:pt>
                <c:pt idx="171">
                  <c:v>Waste Remediation and Materials Recovery Services</c:v>
                </c:pt>
                <c:pt idx="172">
                  <c:v>Water Supply</c:v>
                </c:pt>
                <c:pt idx="173">
                  <c:v>Whiteware Appliance Manufacturing</c:v>
                </c:pt>
                <c:pt idx="174">
                  <c:v>Wine and Other Alcoholic Beverage Manufacturing</c:v>
                </c:pt>
                <c:pt idx="175">
                  <c:v>Wood Chipping</c:v>
                </c:pt>
                <c:pt idx="176">
                  <c:v>Wooden Furniture and Upholstered Seat Manufacturing</c:v>
                </c:pt>
                <c:pt idx="177">
                  <c:v>Wooden Structural Fitting and Component Manufacturing</c:v>
                </c:pt>
                <c:pt idx="178">
                  <c:v>Wool Scouring</c:v>
                </c:pt>
              </c:strCache>
            </c:strRef>
          </c:cat>
          <c:val>
            <c:numRef>
              <c:f>'Figure 7 Headroom by activity'!$E$3:$E$181</c:f>
              <c:numCache>
                <c:formatCode>#,##0</c:formatCode>
                <c:ptCount val="179"/>
                <c:pt idx="0">
                  <c:v>26856132</c:v>
                </c:pt>
                <c:pt idx="1">
                  <c:v>12138606</c:v>
                </c:pt>
                <c:pt idx="2">
                  <c:v>5516571</c:v>
                </c:pt>
                <c:pt idx="3">
                  <c:v>2607647</c:v>
                </c:pt>
                <c:pt idx="4">
                  <c:v>2024099</c:v>
                </c:pt>
                <c:pt idx="5">
                  <c:v>1515280</c:v>
                </c:pt>
                <c:pt idx="6">
                  <c:v>1292478</c:v>
                </c:pt>
                <c:pt idx="7">
                  <c:v>1344012</c:v>
                </c:pt>
                <c:pt idx="8">
                  <c:v>950772</c:v>
                </c:pt>
                <c:pt idx="9">
                  <c:v>563493</c:v>
                </c:pt>
                <c:pt idx="10">
                  <c:v>702304</c:v>
                </c:pt>
                <c:pt idx="11">
                  <c:v>488839</c:v>
                </c:pt>
                <c:pt idx="12">
                  <c:v>393519</c:v>
                </c:pt>
                <c:pt idx="13">
                  <c:v>738628</c:v>
                </c:pt>
                <c:pt idx="14">
                  <c:v>902027</c:v>
                </c:pt>
                <c:pt idx="15">
                  <c:v>571359</c:v>
                </c:pt>
                <c:pt idx="16">
                  <c:v>505198</c:v>
                </c:pt>
                <c:pt idx="17">
                  <c:v>613171</c:v>
                </c:pt>
                <c:pt idx="18">
                  <c:v>239498</c:v>
                </c:pt>
                <c:pt idx="19">
                  <c:v>483193</c:v>
                </c:pt>
                <c:pt idx="20">
                  <c:v>279607</c:v>
                </c:pt>
                <c:pt idx="21">
                  <c:v>340164</c:v>
                </c:pt>
                <c:pt idx="22">
                  <c:v>242788</c:v>
                </c:pt>
                <c:pt idx="23">
                  <c:v>168413</c:v>
                </c:pt>
                <c:pt idx="24">
                  <c:v>162179</c:v>
                </c:pt>
                <c:pt idx="25">
                  <c:v>35332</c:v>
                </c:pt>
                <c:pt idx="26">
                  <c:v>106831</c:v>
                </c:pt>
                <c:pt idx="27">
                  <c:v>100000</c:v>
                </c:pt>
                <c:pt idx="28">
                  <c:v>54422</c:v>
                </c:pt>
                <c:pt idx="29">
                  <c:v>105465</c:v>
                </c:pt>
                <c:pt idx="30">
                  <c:v>125234</c:v>
                </c:pt>
                <c:pt idx="31">
                  <c:v>21933</c:v>
                </c:pt>
                <c:pt idx="32">
                  <c:v>143850</c:v>
                </c:pt>
                <c:pt idx="33">
                  <c:v>53553</c:v>
                </c:pt>
                <c:pt idx="34">
                  <c:v>157864</c:v>
                </c:pt>
                <c:pt idx="35">
                  <c:v>59551</c:v>
                </c:pt>
                <c:pt idx="36">
                  <c:v>23954</c:v>
                </c:pt>
                <c:pt idx="37">
                  <c:v>11842</c:v>
                </c:pt>
                <c:pt idx="38">
                  <c:v>17532</c:v>
                </c:pt>
                <c:pt idx="39">
                  <c:v>8888</c:v>
                </c:pt>
                <c:pt idx="40">
                  <c:v>-14387</c:v>
                </c:pt>
                <c:pt idx="41">
                  <c:v>7059</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3-4447-43DB-BC74-3A4570973F37}"/>
            </c:ext>
          </c:extLst>
        </c:ser>
        <c:ser>
          <c:idx val="4"/>
          <c:order val="4"/>
          <c:tx>
            <c:v>2020-21</c:v>
          </c:tx>
          <c:spPr>
            <a:solidFill>
              <a:srgbClr val="007966"/>
            </a:solidFill>
            <a:ln cmpd="sng">
              <a:solidFill>
                <a:srgbClr val="000000"/>
              </a:solidFill>
            </a:ln>
          </c:spPr>
          <c:invertIfNegative val="1"/>
          <c:cat>
            <c:strRef>
              <c:f>'Figure 7 Headroom by activity'!$A$3:$A$181</c:f>
              <c:strCache>
                <c:ptCount val="179"/>
                <c:pt idx="0">
                  <c:v>Coal Mining</c:v>
                </c:pt>
                <c:pt idx="1">
                  <c:v>Oil and Gas Extraction</c:v>
                </c:pt>
                <c:pt idx="2">
                  <c:v>Iron Smelting and Steel Manufacturing</c:v>
                </c:pt>
                <c:pt idx="3">
                  <c:v>Waste Treatment and Disposal Services</c:v>
                </c:pt>
                <c:pt idx="4">
                  <c:v>Cement and Lime Manufacturing</c:v>
                </c:pt>
                <c:pt idx="5">
                  <c:v>Other Basic Non-Ferrous Metal Manufacturing</c:v>
                </c:pt>
                <c:pt idx="6">
                  <c:v>Fertiliser Manufacturing</c:v>
                </c:pt>
                <c:pt idx="7">
                  <c:v>Aircraft Manufacturing and Repair Services</c:v>
                </c:pt>
                <c:pt idx="8">
                  <c:v>Gas Supply</c:v>
                </c:pt>
                <c:pt idx="9">
                  <c:v>Basic Inorganic Chemical Manufacturing</c:v>
                </c:pt>
                <c:pt idx="10">
                  <c:v>Gold Ore Mining</c:v>
                </c:pt>
                <c:pt idx="11">
                  <c:v>Alumina Production</c:v>
                </c:pt>
                <c:pt idx="12">
                  <c:v>Iron Ore Mining</c:v>
                </c:pt>
                <c:pt idx="13">
                  <c:v>Rail Freight Transport</c:v>
                </c:pt>
                <c:pt idx="14">
                  <c:v>Air and Space Transport</c:v>
                </c:pt>
                <c:pt idx="15">
                  <c:v>Copper, Silver, Lead and Zinc Smelting and Refining</c:v>
                </c:pt>
                <c:pt idx="16">
                  <c:v>Glass and Glass Product Manufacturing</c:v>
                </c:pt>
                <c:pt idx="17">
                  <c:v>Petroleum Refining and Petroleum Fuel Manufacturing</c:v>
                </c:pt>
                <c:pt idx="18">
                  <c:v>Pulp, Paper and Paperboard Manufacturing</c:v>
                </c:pt>
                <c:pt idx="19">
                  <c:v>Port and Water Transport Terminal Operations</c:v>
                </c:pt>
                <c:pt idx="20">
                  <c:v>Mineral Sand Mining</c:v>
                </c:pt>
                <c:pt idx="21">
                  <c:v>Copper Ore Mining</c:v>
                </c:pt>
                <c:pt idx="22">
                  <c:v>Nickel Ore Mining</c:v>
                </c:pt>
                <c:pt idx="23">
                  <c:v>Aluminium Smelting</c:v>
                </c:pt>
                <c:pt idx="24">
                  <c:v>Silver-Lead-Zinc Ore Mining</c:v>
                </c:pt>
                <c:pt idx="25">
                  <c:v>Other Non-Metallic Mineral Product Manufacturing</c:v>
                </c:pt>
                <c:pt idx="26">
                  <c:v>Fossil Fuel Electricity Generation</c:v>
                </c:pt>
                <c:pt idx="27">
                  <c:v>Petroleum Product Wholesaling</c:v>
                </c:pt>
                <c:pt idx="28">
                  <c:v>Road Freight Transport</c:v>
                </c:pt>
                <c:pt idx="29">
                  <c:v>Water Freight Transport</c:v>
                </c:pt>
                <c:pt idx="30">
                  <c:v>Other Food Product Manufacturing n.e.c.</c:v>
                </c:pt>
                <c:pt idx="31">
                  <c:v>Sewerage and Drainage Services</c:v>
                </c:pt>
                <c:pt idx="32">
                  <c:v>Iron and Steel Casting</c:v>
                </c:pt>
                <c:pt idx="33">
                  <c:v>Urban Bus Transport (Including Tramway)</c:v>
                </c:pt>
                <c:pt idx="34">
                  <c:v>Explosive Manufacturing</c:v>
                </c:pt>
                <c:pt idx="35">
                  <c:v>Bauxite Mining</c:v>
                </c:pt>
                <c:pt idx="36">
                  <c:v>Other Metal Ore Mining</c:v>
                </c:pt>
                <c:pt idx="37">
                  <c:v>Synthetic Resin and Synthetic Rubber Manufacturing</c:v>
                </c:pt>
                <c:pt idx="38">
                  <c:v>Basic Organic Chemical Manufacturing</c:v>
                </c:pt>
                <c:pt idx="39">
                  <c:v>Rail Passenger Transport</c:v>
                </c:pt>
                <c:pt idx="40">
                  <c:v>Human Pharmaceutical and Medicinal Product Manufacturing</c:v>
                </c:pt>
                <c:pt idx="41">
                  <c:v>Water Passenger Transport</c:v>
                </c:pt>
                <c:pt idx="42">
                  <c:v>Accommodation</c:v>
                </c:pt>
                <c:pt idx="43">
                  <c:v>Adhesive Manufacturing</c:v>
                </c:pt>
                <c:pt idx="44">
                  <c:v>Airport Operations and Other Air Transport Support Services</c:v>
                </c:pt>
                <c:pt idx="45">
                  <c:v>Aluminium Rolling, Drawing, Extruding</c:v>
                </c:pt>
                <c:pt idx="46">
                  <c:v>Beef Cattle Farming (Specialised)</c:v>
                </c:pt>
                <c:pt idx="47">
                  <c:v>Beef Cattle Feedlots (Specialised)</c:v>
                </c:pt>
                <c:pt idx="48">
                  <c:v>Beer Manufacturing</c:v>
                </c:pt>
                <c:pt idx="49">
                  <c:v>Biscuit Manufacturing (Factory based)</c:v>
                </c:pt>
                <c:pt idx="50">
                  <c:v>Boatbuilding and Repair Services</c:v>
                </c:pt>
                <c:pt idx="51">
                  <c:v>Boiler, Tank and Other Heavy Gauge Metal Container Manufacturing</c:v>
                </c:pt>
                <c:pt idx="52">
                  <c:v>Bread Manufacturing (Factory based)</c:v>
                </c:pt>
                <c:pt idx="53">
                  <c:v>Cake and Pastry Manufacturing (Factory based)</c:v>
                </c:pt>
                <c:pt idx="54">
                  <c:v>Central Government Administration</c:v>
                </c:pt>
                <c:pt idx="55">
                  <c:v>Cereal, Pasta and Baking Mix Manufacturing</c:v>
                </c:pt>
                <c:pt idx="56">
                  <c:v>Cheese and Other Dairy Product Manufacturing</c:v>
                </c:pt>
                <c:pt idx="57">
                  <c:v>Cigarette and Tobacco Product Manufacturing</c:v>
                </c:pt>
                <c:pt idx="58">
                  <c:v>Clay Brick Manufacturing</c:v>
                </c:pt>
                <c:pt idx="59">
                  <c:v>Cleaning Compound Manufacturing</c:v>
                </c:pt>
                <c:pt idx="60">
                  <c:v>Clothing Manufacturing</c:v>
                </c:pt>
                <c:pt idx="61">
                  <c:v>Concrete Product Manufacturing</c:v>
                </c:pt>
                <c:pt idx="62">
                  <c:v>Concreting Services</c:v>
                </c:pt>
                <c:pt idx="63">
                  <c:v>Confectionery Manufacturing</c:v>
                </c:pt>
                <c:pt idx="64">
                  <c:v>Corrugated Paperboard and Paperboard Container Manufacturing</c:v>
                </c:pt>
                <c:pt idx="65">
                  <c:v>Cosmetic and Toiletry Preparation Manufacturing</c:v>
                </c:pt>
                <c:pt idx="66">
                  <c:v>Cured Meat and Smallgoods Manufacturing</c:v>
                </c:pt>
                <c:pt idx="67">
                  <c:v>Cut and Sewn Textile Product Manufacturing</c:v>
                </c:pt>
                <c:pt idx="68">
                  <c:v>Dairy Cattle Farming</c:v>
                </c:pt>
                <c:pt idx="69">
                  <c:v>Data Processing and Web Hosting Services</c:v>
                </c:pt>
                <c:pt idx="70">
                  <c:v>Defence</c:v>
                </c:pt>
                <c:pt idx="71">
                  <c:v>Electric Cable and Wire Manufacturing</c:v>
                </c:pt>
                <c:pt idx="72">
                  <c:v>Fixed Space Heating, Cooling and Ventilation Equipment Manufacturing</c:v>
                </c:pt>
                <c:pt idx="73">
                  <c:v>Fruit and Vegetable Processing</c:v>
                </c:pt>
                <c:pt idx="74">
                  <c:v>Funeral, Crematorium and Cemetery Services</c:v>
                </c:pt>
                <c:pt idx="75">
                  <c:v>Grain Mill Product Manufacturing</c:v>
                </c:pt>
                <c:pt idx="76">
                  <c:v>Grain Storage Services</c:v>
                </c:pt>
                <c:pt idx="77">
                  <c:v>Gravel and Sand Quarrying</c:v>
                </c:pt>
                <c:pt idx="78">
                  <c:v>Higher Education</c:v>
                </c:pt>
                <c:pt idx="79">
                  <c:v>Hospitals (Except Psychiatric Hospitals)</c:v>
                </c:pt>
                <c:pt idx="80">
                  <c:v>Hydro-Electricity Generation</c:v>
                </c:pt>
                <c:pt idx="81">
                  <c:v>Ice Cream Manufacturing</c:v>
                </c:pt>
                <c:pt idx="82">
                  <c:v>Industrial and Agricultural Chemical Product Wholesaling</c:v>
                </c:pt>
                <c:pt idx="83">
                  <c:v>Industrial Gas Manufacturing</c:v>
                </c:pt>
                <c:pt idx="84">
                  <c:v>Iron and Steel Forging</c:v>
                </c:pt>
                <c:pt idx="85">
                  <c:v>Jewellery and Silverware Manufacturing</c:v>
                </c:pt>
                <c:pt idx="86">
                  <c:v>Laundry and Dry-Cleaning Services</c:v>
                </c:pt>
                <c:pt idx="87">
                  <c:v>Leather Tanning, Fur Dressing and Leather Product Manufacturing</c:v>
                </c:pt>
                <c:pt idx="88">
                  <c:v>Log Sawmilling</c:v>
                </c:pt>
                <c:pt idx="89">
                  <c:v>Machine Tool and Parts Manufacturing</c:v>
                </c:pt>
                <c:pt idx="90">
                  <c:v>Meat Processing</c:v>
                </c:pt>
                <c:pt idx="91">
                  <c:v>Medical and Surgical Equipment Manufacturing</c:v>
                </c:pt>
                <c:pt idx="92">
                  <c:v>Metal Coating and Finishing</c:v>
                </c:pt>
                <c:pt idx="93">
                  <c:v>Milk and Cream Processing</c:v>
                </c:pt>
                <c:pt idx="94">
                  <c:v>Mineral Exploration</c:v>
                </c:pt>
                <c:pt idx="95">
                  <c:v>Mining and Construction Machinery Manufacturing</c:v>
                </c:pt>
                <c:pt idx="96">
                  <c:v>Motor Vehicle Manufacturing</c:v>
                </c:pt>
                <c:pt idx="97">
                  <c:v>Motor Vehicle New Parts Wholesaling</c:v>
                </c:pt>
                <c:pt idx="98">
                  <c:v>Natural Rubber Product Manufacturing</c:v>
                </c:pt>
                <c:pt idx="99">
                  <c:v>Natural Textile Manufacturing</c:v>
                </c:pt>
                <c:pt idx="100">
                  <c:v>Newspaper Publishing</c:v>
                </c:pt>
                <c:pt idx="101">
                  <c:v>Non-Ferrous Metal Casting</c:v>
                </c:pt>
                <c:pt idx="102">
                  <c:v>Nut, Bolt, Screw and Rivet Manufacturing</c:v>
                </c:pt>
                <c:pt idx="103">
                  <c:v>Office Administrative Services</c:v>
                </c:pt>
                <c:pt idx="104">
                  <c:v>Oil and Fat Manufacturing</c:v>
                </c:pt>
                <c:pt idx="105">
                  <c:v>Other Basic Chemical Product Manufacturing n.e.c.</c:v>
                </c:pt>
                <c:pt idx="106">
                  <c:v>Other Basic Non-Ferrous Metal Product Manufacturing</c:v>
                </c:pt>
                <c:pt idx="107">
                  <c:v>Other Basic Polymer Manufacturing</c:v>
                </c:pt>
                <c:pt idx="108">
                  <c:v>Other Ceramic Product Manufacturing</c:v>
                </c:pt>
                <c:pt idx="109">
                  <c:v>Other Construction Material Mining</c:v>
                </c:pt>
                <c:pt idx="110">
                  <c:v>Other Converted Paper Product Manufacturing</c:v>
                </c:pt>
                <c:pt idx="111">
                  <c:v>Other Electrical Equipment Manufacturing</c:v>
                </c:pt>
                <c:pt idx="112">
                  <c:v>Other Electricity Generation</c:v>
                </c:pt>
                <c:pt idx="113">
                  <c:v>Other Fabricated Metal Product Manufacturing n.e.c.</c:v>
                </c:pt>
                <c:pt idx="114">
                  <c:v>Other Manufacturing n.e.c.</c:v>
                </c:pt>
                <c:pt idx="115">
                  <c:v>Other Metal Container Manufacturing</c:v>
                </c:pt>
                <c:pt idx="116">
                  <c:v>Other Mining Support Services</c:v>
                </c:pt>
                <c:pt idx="117">
                  <c:v>Other Motor Vehicle Parts Manufacturing</c:v>
                </c:pt>
                <c:pt idx="118">
                  <c:v>Other Non-Metallic Mineral Mining and Quarrying</c:v>
                </c:pt>
                <c:pt idx="119">
                  <c:v>Other Petroleum and Coal Product Manufacturing</c:v>
                </c:pt>
                <c:pt idx="120">
                  <c:v>Other Polymer Product Manufacturing</c:v>
                </c:pt>
                <c:pt idx="121">
                  <c:v>Other Professional and Scientific Equipment Manufacturing</c:v>
                </c:pt>
                <c:pt idx="122">
                  <c:v>Other Specialised Machinery and Equipment Manufacturing</c:v>
                </c:pt>
                <c:pt idx="123">
                  <c:v>Other Structural Metal Product Manufacturing</c:v>
                </c:pt>
                <c:pt idx="124">
                  <c:v>Other Transport n.e.c.</c:v>
                </c:pt>
                <c:pt idx="125">
                  <c:v>Other Transport Support Services n.e.c.</c:v>
                </c:pt>
                <c:pt idx="126">
                  <c:v>Other Warehousing and Storage Services</c:v>
                </c:pt>
                <c:pt idx="127">
                  <c:v>Other Waste Collection Services</c:v>
                </c:pt>
                <c:pt idx="128">
                  <c:v>Other Wood Product Manufacturing n.e.c.</c:v>
                </c:pt>
                <c:pt idx="129">
                  <c:v>Packaging Services</c:v>
                </c:pt>
                <c:pt idx="130">
                  <c:v>Paint and Coatings Manufacturing</c:v>
                </c:pt>
                <c:pt idx="131">
                  <c:v>Paper Bag Manufacturing</c:v>
                </c:pt>
                <c:pt idx="132">
                  <c:v>Pesticide Manufacturing</c:v>
                </c:pt>
                <c:pt idx="133">
                  <c:v>Petroleum Exploration</c:v>
                </c:pt>
                <c:pt idx="134">
                  <c:v>Photographic, Optical and Ophthalmic Equipment Manufacturing</c:v>
                </c:pt>
                <c:pt idx="135">
                  <c:v>Pig Farming</c:v>
                </c:pt>
                <c:pt idx="136">
                  <c:v>Pipeline Transport</c:v>
                </c:pt>
                <c:pt idx="137">
                  <c:v>Plaster Product Manufacturing</c:v>
                </c:pt>
                <c:pt idx="138">
                  <c:v>Polymer Film and Sheet Packaging Material Manufacturing</c:v>
                </c:pt>
                <c:pt idx="139">
                  <c:v>Polymer Foam Product Manufacturing</c:v>
                </c:pt>
                <c:pt idx="140">
                  <c:v>Potato, Corn and Other Crisp Manufacturing</c:v>
                </c:pt>
                <c:pt idx="141">
                  <c:v>Poultry Farming (Eggs)</c:v>
                </c:pt>
                <c:pt idx="142">
                  <c:v>Poultry Farming (Meat)</c:v>
                </c:pt>
                <c:pt idx="143">
                  <c:v>Poultry Processing</c:v>
                </c:pt>
                <c:pt idx="144">
                  <c:v>Prepared Animal and Bird Feed Manufacturing</c:v>
                </c:pt>
                <c:pt idx="145">
                  <c:v>Printing</c:v>
                </c:pt>
                <c:pt idx="146">
                  <c:v>Printing Support Services</c:v>
                </c:pt>
                <c:pt idx="147">
                  <c:v>Railway Rolling Stock Manufacturing and Repair Services</c:v>
                </c:pt>
                <c:pt idx="148">
                  <c:v>Ready-Mixed Concrete Manufacturing</c:v>
                </c:pt>
                <c:pt idx="149">
                  <c:v>Reconstituted Wood Product Manufacturing</c:v>
                </c:pt>
                <c:pt idx="150">
                  <c:v>Rigid and Semi-Rigid Polymer Product Manufacturing</c:v>
                </c:pt>
                <c:pt idx="151">
                  <c:v>Scientific Research Services</c:v>
                </c:pt>
                <c:pt idx="152">
                  <c:v>Seafood Processing</c:v>
                </c:pt>
                <c:pt idx="153">
                  <c:v>Shipbuilding and Repair Services</c:v>
                </c:pt>
                <c:pt idx="154">
                  <c:v>Soft Drink, Cordial and Syrup Manufacturing</c:v>
                </c:pt>
                <c:pt idx="155">
                  <c:v>Solid Waste Collection Services</c:v>
                </c:pt>
                <c:pt idx="156">
                  <c:v>Spirit Manufacturing</c:v>
                </c:pt>
                <c:pt idx="157">
                  <c:v>Sports and Physical Recreation Venues, Grounds and Facilities Operation</c:v>
                </c:pt>
                <c:pt idx="158">
                  <c:v>Spring and Wire Product Manufacturing</c:v>
                </c:pt>
                <c:pt idx="159">
                  <c:v>Steel Pipe and Tube Manufacturing</c:v>
                </c:pt>
                <c:pt idx="160">
                  <c:v>Stevedoring Services</c:v>
                </c:pt>
                <c:pt idx="161">
                  <c:v>Structural Steel Fabricating</c:v>
                </c:pt>
                <c:pt idx="162">
                  <c:v>Sugar Manufacturing</c:v>
                </c:pt>
                <c:pt idx="163">
                  <c:v>Synthetic Textile Manufacturing</c:v>
                </c:pt>
                <c:pt idx="164">
                  <c:v>Textile Finishing and Other Textile Product Manufacturing</c:v>
                </c:pt>
                <c:pt idx="165">
                  <c:v>Textile Floor Covering Manufacturing</c:v>
                </c:pt>
                <c:pt idx="166">
                  <c:v>Timber Resawing and Dressing</c:v>
                </c:pt>
                <c:pt idx="167">
                  <c:v>Timber Wholesaling</c:v>
                </c:pt>
                <c:pt idx="168">
                  <c:v>Tyre Manufacturing</c:v>
                </c:pt>
                <c:pt idx="169">
                  <c:v>Veneer and Plywood Manufacturing</c:v>
                </c:pt>
                <c:pt idx="170">
                  <c:v>Veterinary Pharmaceutical and Medicinal Product Manufacturing</c:v>
                </c:pt>
                <c:pt idx="171">
                  <c:v>Waste Remediation and Materials Recovery Services</c:v>
                </c:pt>
                <c:pt idx="172">
                  <c:v>Water Supply</c:v>
                </c:pt>
                <c:pt idx="173">
                  <c:v>Whiteware Appliance Manufacturing</c:v>
                </c:pt>
                <c:pt idx="174">
                  <c:v>Wine and Other Alcoholic Beverage Manufacturing</c:v>
                </c:pt>
                <c:pt idx="175">
                  <c:v>Wood Chipping</c:v>
                </c:pt>
                <c:pt idx="176">
                  <c:v>Wooden Furniture and Upholstered Seat Manufacturing</c:v>
                </c:pt>
                <c:pt idx="177">
                  <c:v>Wooden Structural Fitting and Component Manufacturing</c:v>
                </c:pt>
                <c:pt idx="178">
                  <c:v>Wool Scouring</c:v>
                </c:pt>
              </c:strCache>
            </c:strRef>
          </c:cat>
          <c:val>
            <c:numRef>
              <c:f>'Figure 7 Headroom by activity'!$F$3:$F$181</c:f>
              <c:numCache>
                <c:formatCode>#,##0</c:formatCode>
                <c:ptCount val="179"/>
                <c:pt idx="0">
                  <c:v>18822614</c:v>
                </c:pt>
                <c:pt idx="1">
                  <c:v>11418473</c:v>
                </c:pt>
                <c:pt idx="2">
                  <c:v>5373659</c:v>
                </c:pt>
                <c:pt idx="3">
                  <c:v>2546454</c:v>
                </c:pt>
                <c:pt idx="4">
                  <c:v>1921452</c:v>
                </c:pt>
                <c:pt idx="5">
                  <c:v>1496211</c:v>
                </c:pt>
                <c:pt idx="6">
                  <c:v>726208</c:v>
                </c:pt>
                <c:pt idx="7">
                  <c:v>2226945</c:v>
                </c:pt>
                <c:pt idx="8">
                  <c:v>748136</c:v>
                </c:pt>
                <c:pt idx="9">
                  <c:v>139234</c:v>
                </c:pt>
                <c:pt idx="10">
                  <c:v>979126</c:v>
                </c:pt>
                <c:pt idx="11">
                  <c:v>2349484</c:v>
                </c:pt>
                <c:pt idx="12">
                  <c:v>997715</c:v>
                </c:pt>
                <c:pt idx="13">
                  <c:v>546100</c:v>
                </c:pt>
                <c:pt idx="14">
                  <c:v>1547374</c:v>
                </c:pt>
                <c:pt idx="15">
                  <c:v>1123298</c:v>
                </c:pt>
                <c:pt idx="16">
                  <c:v>498913</c:v>
                </c:pt>
                <c:pt idx="17">
                  <c:v>970507</c:v>
                </c:pt>
                <c:pt idx="18">
                  <c:v>333941</c:v>
                </c:pt>
                <c:pt idx="19">
                  <c:v>507959</c:v>
                </c:pt>
                <c:pt idx="20">
                  <c:v>379423</c:v>
                </c:pt>
                <c:pt idx="21">
                  <c:v>334334</c:v>
                </c:pt>
                <c:pt idx="22">
                  <c:v>308644</c:v>
                </c:pt>
                <c:pt idx="23">
                  <c:v>194654</c:v>
                </c:pt>
                <c:pt idx="24">
                  <c:v>165245</c:v>
                </c:pt>
                <c:pt idx="25">
                  <c:v>117214</c:v>
                </c:pt>
                <c:pt idx="26">
                  <c:v>106831</c:v>
                </c:pt>
                <c:pt idx="27">
                  <c:v>100000</c:v>
                </c:pt>
                <c:pt idx="28">
                  <c:v>128848</c:v>
                </c:pt>
                <c:pt idx="29">
                  <c:v>36188</c:v>
                </c:pt>
                <c:pt idx="30">
                  <c:v>115340</c:v>
                </c:pt>
                <c:pt idx="31">
                  <c:v>131245</c:v>
                </c:pt>
                <c:pt idx="32">
                  <c:v>139635</c:v>
                </c:pt>
                <c:pt idx="33">
                  <c:v>159748</c:v>
                </c:pt>
                <c:pt idx="34">
                  <c:v>357821</c:v>
                </c:pt>
                <c:pt idx="35">
                  <c:v>44503</c:v>
                </c:pt>
                <c:pt idx="36">
                  <c:v>49034</c:v>
                </c:pt>
                <c:pt idx="37">
                  <c:v>47057</c:v>
                </c:pt>
                <c:pt idx="38">
                  <c:v>89519</c:v>
                </c:pt>
                <c:pt idx="39">
                  <c:v>20362</c:v>
                </c:pt>
                <c:pt idx="40">
                  <c:v>52875</c:v>
                </c:pt>
                <c:pt idx="41">
                  <c:v>32154</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4-4447-43DB-BC74-3A4570973F37}"/>
            </c:ext>
          </c:extLst>
        </c:ser>
        <c:dLbls>
          <c:showLegendKey val="0"/>
          <c:showVal val="0"/>
          <c:showCatName val="0"/>
          <c:showSerName val="0"/>
          <c:showPercent val="0"/>
          <c:showBubbleSize val="0"/>
        </c:dLbls>
        <c:gapWidth val="150"/>
        <c:overlap val="100"/>
        <c:axId val="1190503870"/>
        <c:axId val="1955216469"/>
      </c:barChart>
      <c:catAx>
        <c:axId val="1190503870"/>
        <c:scaling>
          <c:orientation val="maxMin"/>
        </c:scaling>
        <c:delete val="0"/>
        <c:axPos val="l"/>
        <c:title>
          <c:tx>
            <c:rich>
              <a:bodyPr/>
              <a:lstStyle/>
              <a:p>
                <a:pPr lvl="0">
                  <a:defRPr b="0">
                    <a:solidFill>
                      <a:srgbClr val="000000"/>
                    </a:solidFill>
                    <a:latin typeface="+mn-lt"/>
                  </a:defRPr>
                </a:pPr>
                <a:r>
                  <a:rPr lang="en-AU" b="0">
                    <a:solidFill>
                      <a:srgbClr val="000000"/>
                    </a:solidFill>
                    <a:latin typeface="+mn-lt"/>
                  </a:rPr>
                  <a:t>Activity</a:t>
                </a:r>
              </a:p>
            </c:rich>
          </c:tx>
          <c:overlay val="0"/>
        </c:title>
        <c:numFmt formatCode="General" sourceLinked="1"/>
        <c:majorTickMark val="none"/>
        <c:minorTickMark val="none"/>
        <c:tickLblPos val="nextTo"/>
        <c:txPr>
          <a:bodyPr/>
          <a:lstStyle/>
          <a:p>
            <a:pPr lvl="0">
              <a:defRPr b="0">
                <a:solidFill>
                  <a:srgbClr val="000000"/>
                </a:solidFill>
                <a:latin typeface="+mn-lt"/>
              </a:defRPr>
            </a:pPr>
            <a:endParaRPr lang="en-US"/>
          </a:p>
        </c:txPr>
        <c:crossAx val="1955216469"/>
        <c:crosses val="autoZero"/>
        <c:auto val="1"/>
        <c:lblAlgn val="ctr"/>
        <c:lblOffset val="100"/>
        <c:noMultiLvlLbl val="1"/>
      </c:catAx>
      <c:valAx>
        <c:axId val="1955216469"/>
        <c:scaling>
          <c:orientation val="minMax"/>
        </c:scaling>
        <c:delete val="0"/>
        <c:axPos val="b"/>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lang="en-AU" b="0">
                    <a:solidFill>
                      <a:srgbClr val="000000"/>
                    </a:solidFill>
                    <a:latin typeface="+mn-lt"/>
                  </a:rPr>
                  <a:t>Emissions (tCO2e) 2016-17 to 2020-21</a:t>
                </a:r>
              </a:p>
            </c:rich>
          </c:tx>
          <c:overlay val="0"/>
        </c:title>
        <c:numFmt formatCode="#,##0" sourceLinked="1"/>
        <c:majorTickMark val="none"/>
        <c:minorTickMark val="none"/>
        <c:tickLblPos val="nextTo"/>
        <c:spPr>
          <a:ln/>
        </c:spPr>
        <c:txPr>
          <a:bodyPr/>
          <a:lstStyle/>
          <a:p>
            <a:pPr lvl="0">
              <a:defRPr b="0">
                <a:solidFill>
                  <a:srgbClr val="000000"/>
                </a:solidFill>
                <a:latin typeface="+mn-lt"/>
              </a:defRPr>
            </a:pPr>
            <a:endParaRPr lang="en-US"/>
          </a:p>
        </c:txPr>
        <c:crossAx val="1190503870"/>
        <c:crosses val="max"/>
        <c:crossBetween val="between"/>
      </c:valAx>
    </c:plotArea>
    <c:legend>
      <c:legendPos val="r"/>
      <c:overlay val="0"/>
      <c:txPr>
        <a:bodyPr/>
        <a:lstStyle/>
        <a:p>
          <a:pPr lvl="0">
            <a:defRPr b="0">
              <a:solidFill>
                <a:srgbClr val="414042"/>
              </a:solidFill>
              <a:latin typeface="Arial"/>
            </a:defRPr>
          </a:pPr>
          <a:endParaRPr lang="en-US"/>
        </a:p>
      </c:txPr>
    </c:legend>
    <c:plotVisOnly val="1"/>
    <c:dispBlanksAs val="zero"/>
    <c:showDLblsOverMax val="1"/>
  </c:chart>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AU" sz="1400" b="1" i="0" u="none" strike="noStrike" baseline="0">
                <a:effectLst/>
              </a:rPr>
              <a:t>Emissions data (all figures are tCO2e (tonnes CO2 equivalent))</a:t>
            </a:r>
            <a:r>
              <a:rPr lang="en-AU" sz="1400" b="0" i="0" u="none" strike="noStrike" baseline="0"/>
              <a:t> </a:t>
            </a:r>
            <a:endParaRPr lang="en-AU"/>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'Facility case study generator'!$A$5</c:f>
              <c:strCache>
                <c:ptCount val="1"/>
                <c:pt idx="0">
                  <c:v>Estimated emissions (if available) (average annual) (tCO2e)</c:v>
                </c:pt>
              </c:strCache>
            </c:strRef>
          </c:tx>
          <c:spPr>
            <a:solidFill>
              <a:schemeClr val="accent3"/>
            </a:solidFill>
            <a:ln>
              <a:noFill/>
            </a:ln>
            <a:effectLst/>
          </c:spPr>
          <c:invertIfNegative val="0"/>
          <c:cat>
            <c:numRef>
              <c:f>'Facility case study generator'!$B$4:$F$4</c:f>
              <c:numCache>
                <c:formatCode>General</c:formatCode>
                <c:ptCount val="5"/>
                <c:pt idx="0">
                  <c:v>2017</c:v>
                </c:pt>
                <c:pt idx="1">
                  <c:v>2018</c:v>
                </c:pt>
                <c:pt idx="2">
                  <c:v>2019</c:v>
                </c:pt>
                <c:pt idx="3">
                  <c:v>2020</c:v>
                </c:pt>
                <c:pt idx="4">
                  <c:v>2021</c:v>
                </c:pt>
              </c:numCache>
            </c:numRef>
          </c:cat>
          <c:val>
            <c:numRef>
              <c:f>'Facility case study generator'!$B$5:$F$5</c:f>
              <c:numCache>
                <c:formatCode>#,##0</c:formatCode>
                <c:ptCount val="5"/>
                <c:pt idx="0">
                  <c:v>168540</c:v>
                </c:pt>
                <c:pt idx="1">
                  <c:v>168540</c:v>
                </c:pt>
                <c:pt idx="2">
                  <c:v>168540</c:v>
                </c:pt>
                <c:pt idx="3">
                  <c:v>168540</c:v>
                </c:pt>
                <c:pt idx="4">
                  <c:v>0</c:v>
                </c:pt>
              </c:numCache>
            </c:numRef>
          </c:val>
          <c:extLst>
            <c:ext xmlns:c16="http://schemas.microsoft.com/office/drawing/2014/chart" uri="{C3380CC4-5D6E-409C-BE32-E72D297353CC}">
              <c16:uniqueId val="{00000000-6FDA-47D8-8E1B-57984AAF156C}"/>
            </c:ext>
          </c:extLst>
        </c:ser>
        <c:ser>
          <c:idx val="2"/>
          <c:order val="2"/>
          <c:tx>
            <c:strRef>
              <c:f>'Facility case study generator'!$A$7</c:f>
              <c:strCache>
                <c:ptCount val="1"/>
                <c:pt idx="0">
                  <c:v>Baseline (tCO2e)</c:v>
                </c:pt>
              </c:strCache>
            </c:strRef>
          </c:tx>
          <c:spPr>
            <a:solidFill>
              <a:schemeClr val="accent1"/>
            </a:solidFill>
            <a:ln>
              <a:noFill/>
            </a:ln>
            <a:effectLst/>
          </c:spPr>
          <c:invertIfNegative val="0"/>
          <c:cat>
            <c:numRef>
              <c:f>'Facility case study generator'!$B$4:$F$4</c:f>
              <c:numCache>
                <c:formatCode>General</c:formatCode>
                <c:ptCount val="5"/>
                <c:pt idx="0">
                  <c:v>2017</c:v>
                </c:pt>
                <c:pt idx="1">
                  <c:v>2018</c:v>
                </c:pt>
                <c:pt idx="2">
                  <c:v>2019</c:v>
                </c:pt>
                <c:pt idx="3">
                  <c:v>2020</c:v>
                </c:pt>
                <c:pt idx="4">
                  <c:v>2021</c:v>
                </c:pt>
              </c:numCache>
            </c:numRef>
          </c:cat>
          <c:val>
            <c:numRef>
              <c:f>'Facility case study generator'!$B$7:$F$7</c:f>
              <c:numCache>
                <c:formatCode>#,##0</c:formatCode>
                <c:ptCount val="5"/>
                <c:pt idx="0">
                  <c:v>0</c:v>
                </c:pt>
                <c:pt idx="1">
                  <c:v>0</c:v>
                </c:pt>
                <c:pt idx="2">
                  <c:v>663971</c:v>
                </c:pt>
                <c:pt idx="3">
                  <c:v>665790</c:v>
                </c:pt>
                <c:pt idx="4">
                  <c:v>732330</c:v>
                </c:pt>
              </c:numCache>
            </c:numRef>
          </c:val>
          <c:extLst>
            <c:ext xmlns:c16="http://schemas.microsoft.com/office/drawing/2014/chart" uri="{C3380CC4-5D6E-409C-BE32-E72D297353CC}">
              <c16:uniqueId val="{00000002-6FDA-47D8-8E1B-57984AAF156C}"/>
            </c:ext>
          </c:extLst>
        </c:ser>
        <c:ser>
          <c:idx val="3"/>
          <c:order val="3"/>
          <c:tx>
            <c:strRef>
              <c:f>'Facility case study generator'!$A$8</c:f>
              <c:strCache>
                <c:ptCount val="1"/>
                <c:pt idx="0">
                  <c:v>Reported emissions (tCO2e)</c:v>
                </c:pt>
              </c:strCache>
            </c:strRef>
          </c:tx>
          <c:spPr>
            <a:solidFill>
              <a:schemeClr val="accent2"/>
            </a:solidFill>
            <a:ln>
              <a:noFill/>
            </a:ln>
            <a:effectLst/>
          </c:spPr>
          <c:invertIfNegative val="0"/>
          <c:cat>
            <c:numRef>
              <c:f>'Facility case study generator'!$B$4:$F$4</c:f>
              <c:numCache>
                <c:formatCode>General</c:formatCode>
                <c:ptCount val="5"/>
                <c:pt idx="0">
                  <c:v>2017</c:v>
                </c:pt>
                <c:pt idx="1">
                  <c:v>2018</c:v>
                </c:pt>
                <c:pt idx="2">
                  <c:v>2019</c:v>
                </c:pt>
                <c:pt idx="3">
                  <c:v>2020</c:v>
                </c:pt>
                <c:pt idx="4">
                  <c:v>2021</c:v>
                </c:pt>
              </c:numCache>
            </c:numRef>
          </c:cat>
          <c:val>
            <c:numRef>
              <c:f>'Facility case study generator'!$B$8:$F$8</c:f>
              <c:numCache>
                <c:formatCode>#,##0</c:formatCode>
                <c:ptCount val="5"/>
                <c:pt idx="0">
                  <c:v>0</c:v>
                </c:pt>
                <c:pt idx="1">
                  <c:v>0</c:v>
                </c:pt>
                <c:pt idx="2">
                  <c:v>185921</c:v>
                </c:pt>
                <c:pt idx="3">
                  <c:v>448683</c:v>
                </c:pt>
                <c:pt idx="4">
                  <c:v>675893</c:v>
                </c:pt>
              </c:numCache>
            </c:numRef>
          </c:val>
          <c:extLst>
            <c:ext xmlns:c16="http://schemas.microsoft.com/office/drawing/2014/chart" uri="{C3380CC4-5D6E-409C-BE32-E72D297353CC}">
              <c16:uniqueId val="{00000003-6FDA-47D8-8E1B-57984AAF156C}"/>
            </c:ext>
          </c:extLst>
        </c:ser>
        <c:dLbls>
          <c:showLegendKey val="0"/>
          <c:showVal val="0"/>
          <c:showCatName val="0"/>
          <c:showSerName val="0"/>
          <c:showPercent val="0"/>
          <c:showBubbleSize val="0"/>
        </c:dLbls>
        <c:gapWidth val="219"/>
        <c:overlap val="-27"/>
        <c:axId val="666208416"/>
        <c:axId val="582609920"/>
        <c:extLst>
          <c:ext xmlns:c15="http://schemas.microsoft.com/office/drawing/2012/chart" uri="{02D57815-91ED-43cb-92C2-25804820EDAC}">
            <c15:filteredBarSeries>
              <c15:ser>
                <c:idx val="1"/>
                <c:order val="1"/>
                <c:tx>
                  <c:strRef>
                    <c:extLst>
                      <c:ext uri="{02D57815-91ED-43cb-92C2-25804820EDAC}">
                        <c15:formulaRef>
                          <c15:sqref>'Facility case study generator'!$A$6</c15:sqref>
                        </c15:formulaRef>
                      </c:ext>
                    </c:extLst>
                    <c:strCache>
                      <c:ptCount val="1"/>
                      <c:pt idx="0">
                        <c:v>Baseline determination type</c:v>
                      </c:pt>
                    </c:strCache>
                  </c:strRef>
                </c:tx>
                <c:spPr>
                  <a:solidFill>
                    <a:schemeClr val="accent2"/>
                  </a:solidFill>
                  <a:ln>
                    <a:noFill/>
                  </a:ln>
                  <a:effectLst/>
                </c:spPr>
                <c:invertIfNegative val="0"/>
                <c:cat>
                  <c:numRef>
                    <c:extLst>
                      <c:ext uri="{02D57815-91ED-43cb-92C2-25804820EDAC}">
                        <c15:formulaRef>
                          <c15:sqref>'Facility case study generator'!$B$4:$F$4</c15:sqref>
                        </c15:formulaRef>
                      </c:ext>
                    </c:extLst>
                    <c:numCache>
                      <c:formatCode>General</c:formatCode>
                      <c:ptCount val="5"/>
                      <c:pt idx="0">
                        <c:v>2017</c:v>
                      </c:pt>
                      <c:pt idx="1">
                        <c:v>2018</c:v>
                      </c:pt>
                      <c:pt idx="2">
                        <c:v>2019</c:v>
                      </c:pt>
                      <c:pt idx="3">
                        <c:v>2020</c:v>
                      </c:pt>
                      <c:pt idx="4">
                        <c:v>2021</c:v>
                      </c:pt>
                    </c:numCache>
                  </c:numRef>
                </c:cat>
                <c:val>
                  <c:numRef>
                    <c:extLst>
                      <c:ext uri="{02D57815-91ED-43cb-92C2-25804820EDAC}">
                        <c15:formulaRef>
                          <c15:sqref>'Facility case study generator'!$B$6:$F$6</c15:sqref>
                        </c15:formulaRef>
                      </c:ext>
                    </c:extLst>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1-6FDA-47D8-8E1B-57984AAF156C}"/>
                  </c:ext>
                </c:extLst>
              </c15:ser>
            </c15:filteredBarSeries>
          </c:ext>
        </c:extLst>
      </c:barChart>
      <c:catAx>
        <c:axId val="6662084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82609920"/>
        <c:crosses val="autoZero"/>
        <c:auto val="1"/>
        <c:lblAlgn val="ctr"/>
        <c:lblOffset val="100"/>
        <c:noMultiLvlLbl val="0"/>
      </c:catAx>
      <c:valAx>
        <c:axId val="58260992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620841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AU"/>
              <a:t>Total emissions for this activity per year (tCO2e)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1"/>
          <c:order val="1"/>
          <c:tx>
            <c:strRef>
              <c:f>'Activity case study generator'!$A$5</c:f>
              <c:strCache>
                <c:ptCount val="1"/>
                <c:pt idx="0">
                  <c:v>total baseline (excluding withheld baselines)</c:v>
                </c:pt>
              </c:strCache>
            </c:strRef>
          </c:tx>
          <c:spPr>
            <a:ln w="28575" cap="rnd">
              <a:solidFill>
                <a:schemeClr val="accent2"/>
              </a:solidFill>
              <a:round/>
            </a:ln>
            <a:effectLst/>
          </c:spPr>
          <c:marker>
            <c:symbol val="none"/>
          </c:marker>
          <c:cat>
            <c:numLit>
              <c:formatCode>General</c:formatCode>
              <c:ptCount val="5"/>
              <c:pt idx="0">
                <c:v>2017</c:v>
              </c:pt>
              <c:pt idx="1">
                <c:v>2018</c:v>
              </c:pt>
              <c:pt idx="2">
                <c:v>2019</c:v>
              </c:pt>
              <c:pt idx="3">
                <c:v>2020</c:v>
              </c:pt>
              <c:pt idx="4">
                <c:v>2021</c:v>
              </c:pt>
            </c:numLit>
          </c:cat>
          <c:val>
            <c:numRef>
              <c:f>'Activity case study generator'!$B$5:$F$5</c:f>
              <c:numCache>
                <c:formatCode>#,##0</c:formatCode>
                <c:ptCount val="5"/>
                <c:pt idx="0">
                  <c:v>40707124</c:v>
                </c:pt>
                <c:pt idx="1">
                  <c:v>54719881</c:v>
                </c:pt>
                <c:pt idx="2">
                  <c:v>54719881</c:v>
                </c:pt>
                <c:pt idx="3">
                  <c:v>55353530</c:v>
                </c:pt>
                <c:pt idx="4">
                  <c:v>52150723</c:v>
                </c:pt>
              </c:numCache>
            </c:numRef>
          </c:val>
          <c:smooth val="0"/>
          <c:extLst>
            <c:ext xmlns:c16="http://schemas.microsoft.com/office/drawing/2014/chart" uri="{C3380CC4-5D6E-409C-BE32-E72D297353CC}">
              <c16:uniqueId val="{00000001-9E69-4971-9EA7-815F3760433C}"/>
            </c:ext>
          </c:extLst>
        </c:ser>
        <c:ser>
          <c:idx val="2"/>
          <c:order val="2"/>
          <c:tx>
            <c:strRef>
              <c:f>'Activity case study generator'!$A$6</c:f>
              <c:strCache>
                <c:ptCount val="1"/>
                <c:pt idx="0">
                  <c:v>total reported emissions</c:v>
                </c:pt>
              </c:strCache>
            </c:strRef>
          </c:tx>
          <c:spPr>
            <a:ln w="28575" cap="rnd">
              <a:solidFill>
                <a:schemeClr val="accent1"/>
              </a:solidFill>
              <a:round/>
            </a:ln>
            <a:effectLst/>
          </c:spPr>
          <c:marker>
            <c:symbol val="none"/>
          </c:marker>
          <c:cat>
            <c:numLit>
              <c:formatCode>General</c:formatCode>
              <c:ptCount val="5"/>
              <c:pt idx="0">
                <c:v>2017</c:v>
              </c:pt>
              <c:pt idx="1">
                <c:v>2018</c:v>
              </c:pt>
              <c:pt idx="2">
                <c:v>2019</c:v>
              </c:pt>
              <c:pt idx="3">
                <c:v>2020</c:v>
              </c:pt>
              <c:pt idx="4">
                <c:v>2021</c:v>
              </c:pt>
            </c:numLit>
          </c:cat>
          <c:val>
            <c:numRef>
              <c:f>'Activity case study generator'!$B$6:$F$6</c:f>
              <c:numCache>
                <c:formatCode>#,##0</c:formatCode>
                <c:ptCount val="5"/>
                <c:pt idx="0">
                  <c:v>33926949</c:v>
                </c:pt>
                <c:pt idx="1">
                  <c:v>38218720</c:v>
                </c:pt>
                <c:pt idx="2">
                  <c:v>46082666</c:v>
                </c:pt>
                <c:pt idx="3">
                  <c:v>43214924</c:v>
                </c:pt>
                <c:pt idx="4">
                  <c:v>40732250</c:v>
                </c:pt>
              </c:numCache>
            </c:numRef>
          </c:val>
          <c:smooth val="0"/>
          <c:extLst>
            <c:ext xmlns:c16="http://schemas.microsoft.com/office/drawing/2014/chart" uri="{C3380CC4-5D6E-409C-BE32-E72D297353CC}">
              <c16:uniqueId val="{00000002-9E69-4971-9EA7-815F3760433C}"/>
            </c:ext>
          </c:extLst>
        </c:ser>
        <c:dLbls>
          <c:showLegendKey val="0"/>
          <c:showVal val="0"/>
          <c:showCatName val="0"/>
          <c:showSerName val="0"/>
          <c:showPercent val="0"/>
          <c:showBubbleSize val="0"/>
        </c:dLbls>
        <c:smooth val="0"/>
        <c:axId val="665185120"/>
        <c:axId val="665190696"/>
        <c:extLst>
          <c:ext xmlns:c15="http://schemas.microsoft.com/office/drawing/2012/chart" uri="{02D57815-91ED-43cb-92C2-25804820EDAC}">
            <c15:filteredLineSeries>
              <c15:ser>
                <c:idx val="0"/>
                <c:order val="0"/>
                <c:tx>
                  <c:strRef>
                    <c:extLst>
                      <c:ext uri="{02D57815-91ED-43cb-92C2-25804820EDAC}">
                        <c15:formulaRef>
                          <c15:sqref>'Activity case study generator'!$A$4</c15:sqref>
                        </c15:formulaRef>
                      </c:ext>
                    </c:extLst>
                    <c:strCache>
                      <c:ptCount val="1"/>
                      <c:pt idx="0">
                        <c:v>year (financial year ending)</c:v>
                      </c:pt>
                    </c:strCache>
                  </c:strRef>
                </c:tx>
                <c:spPr>
                  <a:ln w="28575" cap="rnd">
                    <a:solidFill>
                      <a:schemeClr val="accent1"/>
                    </a:solidFill>
                    <a:round/>
                  </a:ln>
                  <a:effectLst/>
                </c:spPr>
                <c:marker>
                  <c:symbol val="none"/>
                </c:marker>
                <c:cat>
                  <c:numLit>
                    <c:formatCode>General</c:formatCode>
                    <c:ptCount val="5"/>
                    <c:pt idx="0">
                      <c:v>2017</c:v>
                    </c:pt>
                    <c:pt idx="1">
                      <c:v>2018</c:v>
                    </c:pt>
                    <c:pt idx="2">
                      <c:v>2019</c:v>
                    </c:pt>
                    <c:pt idx="3">
                      <c:v>2020</c:v>
                    </c:pt>
                    <c:pt idx="4">
                      <c:v>2021</c:v>
                    </c:pt>
                  </c:numLit>
                </c:cat>
                <c:val>
                  <c:numRef>
                    <c:extLst>
                      <c:ext uri="{02D57815-91ED-43cb-92C2-25804820EDAC}">
                        <c15:formulaRef>
                          <c15:sqref>'Activity case study generator'!$B$4:$F$4</c15:sqref>
                        </c15:formulaRef>
                      </c:ext>
                    </c:extLst>
                    <c:numCache>
                      <c:formatCode>General</c:formatCode>
                      <c:ptCount val="5"/>
                      <c:pt idx="0">
                        <c:v>2017</c:v>
                      </c:pt>
                      <c:pt idx="1">
                        <c:v>2018</c:v>
                      </c:pt>
                      <c:pt idx="2">
                        <c:v>2019</c:v>
                      </c:pt>
                      <c:pt idx="3">
                        <c:v>2020</c:v>
                      </c:pt>
                      <c:pt idx="4">
                        <c:v>2021</c:v>
                      </c:pt>
                    </c:numCache>
                  </c:numRef>
                </c:val>
                <c:smooth val="0"/>
                <c:extLst>
                  <c:ext xmlns:c16="http://schemas.microsoft.com/office/drawing/2014/chart" uri="{C3380CC4-5D6E-409C-BE32-E72D297353CC}">
                    <c16:uniqueId val="{00000000-9E69-4971-9EA7-815F3760433C}"/>
                  </c:ext>
                </c:extLst>
              </c15:ser>
            </c15:filteredLineSeries>
          </c:ext>
        </c:extLst>
      </c:lineChart>
      <c:catAx>
        <c:axId val="6651851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5190696"/>
        <c:crosses val="autoZero"/>
        <c:auto val="1"/>
        <c:lblAlgn val="ctr"/>
        <c:lblOffset val="100"/>
        <c:noMultiLvlLbl val="0"/>
      </c:catAx>
      <c:valAx>
        <c:axId val="66519069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518512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chart" Target="../charts/chart10.xml"/><Relationship Id="rId1" Type="http://schemas.openxmlformats.org/officeDocument/2006/relationships/chart" Target="../charts/chart9.xml"/></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chart" Target="../charts/chart6.xml"/></Relationships>
</file>

<file path=xl/drawings/_rels/drawing8.xml.rels><?xml version="1.0" encoding="UTF-8" standalone="yes"?>
<Relationships xmlns="http://schemas.openxmlformats.org/package/2006/relationships"><Relationship Id="rId1" Type="http://schemas.openxmlformats.org/officeDocument/2006/relationships/chart" Target="../charts/chart7.xml"/></Relationships>
</file>

<file path=xl/drawings/_rels/drawing9.xml.rels><?xml version="1.0" encoding="UTF-8" standalone="yes"?>
<Relationships xmlns="http://schemas.openxmlformats.org/package/2006/relationships"><Relationship Id="rId1"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dr:oneCellAnchor>
    <xdr:from>
      <xdr:col>0</xdr:col>
      <xdr:colOff>0</xdr:colOff>
      <xdr:row>6</xdr:row>
      <xdr:rowOff>0</xdr:rowOff>
    </xdr:from>
    <xdr:ext cx="190500" cy="190500"/>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10.xml><?xml version="1.0" encoding="utf-8"?>
<xdr:wsDr xmlns:xdr="http://schemas.openxmlformats.org/drawingml/2006/spreadsheetDrawing" xmlns:a="http://schemas.openxmlformats.org/drawingml/2006/main">
  <xdr:twoCellAnchor>
    <xdr:from>
      <xdr:col>0</xdr:col>
      <xdr:colOff>84136</xdr:colOff>
      <xdr:row>14</xdr:row>
      <xdr:rowOff>125412</xdr:rowOff>
    </xdr:from>
    <xdr:to>
      <xdr:col>6</xdr:col>
      <xdr:colOff>47624</xdr:colOff>
      <xdr:row>29</xdr:row>
      <xdr:rowOff>160337</xdr:rowOff>
    </xdr:to>
    <xdr:graphicFrame macro="">
      <xdr:nvGraphicFramePr>
        <xdr:cNvPr id="2" name="Chart 1">
          <a:extLst>
            <a:ext uri="{FF2B5EF4-FFF2-40B4-BE49-F238E27FC236}">
              <a16:creationId xmlns:a16="http://schemas.microsoft.com/office/drawing/2014/main" id="{C13565E3-98FD-8E1F-D2CC-47B06B3F776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82550</xdr:colOff>
      <xdr:row>30</xdr:row>
      <xdr:rowOff>63500</xdr:rowOff>
    </xdr:from>
    <xdr:to>
      <xdr:col>6</xdr:col>
      <xdr:colOff>46038</xdr:colOff>
      <xdr:row>45</xdr:row>
      <xdr:rowOff>82550</xdr:rowOff>
    </xdr:to>
    <xdr:graphicFrame macro="">
      <xdr:nvGraphicFramePr>
        <xdr:cNvPr id="5" name="Chart 4">
          <a:extLst>
            <a:ext uri="{FF2B5EF4-FFF2-40B4-BE49-F238E27FC236}">
              <a16:creationId xmlns:a16="http://schemas.microsoft.com/office/drawing/2014/main" id="{68F80454-75C6-4CAD-B704-8B8EE5F7056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oneCellAnchor>
    <xdr:from>
      <xdr:col>7</xdr:col>
      <xdr:colOff>19049</xdr:colOff>
      <xdr:row>0</xdr:row>
      <xdr:rowOff>316139</xdr:rowOff>
    </xdr:from>
    <xdr:ext cx="7464879" cy="4683579"/>
    <xdr:graphicFrame macro="">
      <xdr:nvGraphicFramePr>
        <xdr:cNvPr id="2" name="Chart 1" title="Chart">
          <a:extLst>
            <a:ext uri="{FF2B5EF4-FFF2-40B4-BE49-F238E27FC236}">
              <a16:creationId xmlns:a16="http://schemas.microsoft.com/office/drawing/2014/main" id="{00000000-0008-0000-08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oneCellAnchor>
    <xdr:from>
      <xdr:col>7</xdr:col>
      <xdr:colOff>8618</xdr:colOff>
      <xdr:row>18</xdr:row>
      <xdr:rowOff>393699</xdr:rowOff>
    </xdr:from>
    <xdr:ext cx="7486650" cy="4524375"/>
    <xdr:graphicFrame macro="">
      <xdr:nvGraphicFramePr>
        <xdr:cNvPr id="3" name="Chart 2" title="Chart">
          <a:extLst>
            <a:ext uri="{FF2B5EF4-FFF2-40B4-BE49-F238E27FC236}">
              <a16:creationId xmlns:a16="http://schemas.microsoft.com/office/drawing/2014/main" id="{00000000-0008-0000-08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oneCellAnchor>
</xdr:wsDr>
</file>

<file path=xl/drawings/drawing3.xml><?xml version="1.0" encoding="utf-8"?>
<xdr:wsDr xmlns:xdr="http://schemas.openxmlformats.org/drawingml/2006/spreadsheetDrawing" xmlns:a="http://schemas.openxmlformats.org/drawingml/2006/main">
  <xdr:oneCellAnchor>
    <xdr:from>
      <xdr:col>7</xdr:col>
      <xdr:colOff>301625</xdr:colOff>
      <xdr:row>0</xdr:row>
      <xdr:rowOff>847726</xdr:rowOff>
    </xdr:from>
    <xdr:ext cx="6391275" cy="5543549"/>
    <xdr:graphicFrame macro="">
      <xdr:nvGraphicFramePr>
        <xdr:cNvPr id="3" name="Chart 3" title="Chart">
          <a:extLst>
            <a:ext uri="{FF2B5EF4-FFF2-40B4-BE49-F238E27FC236}">
              <a16:creationId xmlns:a16="http://schemas.microsoft.com/office/drawing/2014/main" id="{00000000-0008-0000-09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wsDr>
</file>

<file path=xl/drawings/drawing4.xml><?xml version="1.0" encoding="utf-8"?>
<xdr:wsDr xmlns:xdr="http://schemas.openxmlformats.org/drawingml/2006/spreadsheetDrawing" xmlns:a="http://schemas.openxmlformats.org/drawingml/2006/main">
  <xdr:oneCellAnchor>
    <xdr:from>
      <xdr:col>8</xdr:col>
      <xdr:colOff>247649</xdr:colOff>
      <xdr:row>6</xdr:row>
      <xdr:rowOff>9525</xdr:rowOff>
    </xdr:from>
    <xdr:ext cx="9134475" cy="34042350"/>
    <xdr:graphicFrame macro="">
      <xdr:nvGraphicFramePr>
        <xdr:cNvPr id="4" name="Chart 4" title="Chart">
          <a:extLst>
            <a:ext uri="{FF2B5EF4-FFF2-40B4-BE49-F238E27FC236}">
              <a16:creationId xmlns:a16="http://schemas.microsoft.com/office/drawing/2014/main" id="{00000000-0008-0000-0A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wsDr>
</file>

<file path=xl/drawings/drawing5.xml><?xml version="1.0" encoding="utf-8"?>
<xdr:wsDr xmlns:xdr="http://schemas.openxmlformats.org/drawingml/2006/spreadsheetDrawing" xmlns:a="http://schemas.openxmlformats.org/drawingml/2006/main">
  <xdr:oneCellAnchor>
    <xdr:from>
      <xdr:col>7</xdr:col>
      <xdr:colOff>987425</xdr:colOff>
      <xdr:row>0</xdr:row>
      <xdr:rowOff>0</xdr:rowOff>
    </xdr:from>
    <xdr:ext cx="9639300" cy="34042350"/>
    <xdr:graphicFrame macro="">
      <xdr:nvGraphicFramePr>
        <xdr:cNvPr id="5" name="Chart 5" title="Chart">
          <a:extLst>
            <a:ext uri="{FF2B5EF4-FFF2-40B4-BE49-F238E27FC236}">
              <a16:creationId xmlns:a16="http://schemas.microsoft.com/office/drawing/2014/main" id="{00000000-0008-0000-0B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wsDr>
</file>

<file path=xl/drawings/drawing6.xml><?xml version="1.0" encoding="utf-8"?>
<xdr:wsDr xmlns:xdr="http://schemas.openxmlformats.org/drawingml/2006/spreadsheetDrawing" xmlns:a="http://schemas.openxmlformats.org/drawingml/2006/main">
  <xdr:oneCellAnchor>
    <xdr:from>
      <xdr:col>7</xdr:col>
      <xdr:colOff>914401</xdr:colOff>
      <xdr:row>0</xdr:row>
      <xdr:rowOff>6350</xdr:rowOff>
    </xdr:from>
    <xdr:ext cx="5362574" cy="6668297"/>
    <xdr:pic>
      <xdr:nvPicPr>
        <xdr:cNvPr id="2" name="image2.png" title="Image">
          <a:extLst>
            <a:ext uri="{FF2B5EF4-FFF2-40B4-BE49-F238E27FC236}">
              <a16:creationId xmlns:a16="http://schemas.microsoft.com/office/drawing/2014/main" id="{00000000-0008-0000-0C00-000002000000}"/>
            </a:ext>
          </a:extLst>
        </xdr:cNvPr>
        <xdr:cNvPicPr preferRelativeResize="0"/>
      </xdr:nvPicPr>
      <xdr:blipFill>
        <a:blip xmlns:r="http://schemas.openxmlformats.org/officeDocument/2006/relationships" r:embed="rId1" cstate="print"/>
        <a:stretch>
          <a:fillRect/>
        </a:stretch>
      </xdr:blipFill>
      <xdr:spPr>
        <a:xfrm>
          <a:off x="7981951" y="6350"/>
          <a:ext cx="5362574" cy="6668297"/>
        </a:xfrm>
        <a:prstGeom prst="rect">
          <a:avLst/>
        </a:prstGeom>
        <a:noFill/>
      </xdr:spPr>
    </xdr:pic>
    <xdr:clientData fLocksWithSheet="0"/>
  </xdr:oneCellAnchor>
</xdr:wsDr>
</file>

<file path=xl/drawings/drawing7.xml><?xml version="1.0" encoding="utf-8"?>
<xdr:wsDr xmlns:xdr="http://schemas.openxmlformats.org/drawingml/2006/spreadsheetDrawing" xmlns:a="http://schemas.openxmlformats.org/drawingml/2006/main">
  <xdr:oneCellAnchor>
    <xdr:from>
      <xdr:col>6</xdr:col>
      <xdr:colOff>1009649</xdr:colOff>
      <xdr:row>0</xdr:row>
      <xdr:rowOff>0</xdr:rowOff>
    </xdr:from>
    <xdr:ext cx="11087101" cy="49749074"/>
    <xdr:graphicFrame macro="">
      <xdr:nvGraphicFramePr>
        <xdr:cNvPr id="6" name="Chart 6" title="Chart">
          <a:extLst>
            <a:ext uri="{FF2B5EF4-FFF2-40B4-BE49-F238E27FC236}">
              <a16:creationId xmlns:a16="http://schemas.microsoft.com/office/drawing/2014/main" id="{00000000-0008-0000-0D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wsDr>
</file>

<file path=xl/drawings/drawing8.xml><?xml version="1.0" encoding="utf-8"?>
<xdr:wsDr xmlns:xdr="http://schemas.openxmlformats.org/drawingml/2006/spreadsheetDrawing" xmlns:a="http://schemas.openxmlformats.org/drawingml/2006/main">
  <xdr:oneCellAnchor>
    <xdr:from>
      <xdr:col>7</xdr:col>
      <xdr:colOff>962025</xdr:colOff>
      <xdr:row>0</xdr:row>
      <xdr:rowOff>0</xdr:rowOff>
    </xdr:from>
    <xdr:ext cx="9639300" cy="34042350"/>
    <xdr:graphicFrame macro="">
      <xdr:nvGraphicFramePr>
        <xdr:cNvPr id="7" name="Chart 7" title="Chart">
          <a:extLst>
            <a:ext uri="{FF2B5EF4-FFF2-40B4-BE49-F238E27FC236}">
              <a16:creationId xmlns:a16="http://schemas.microsoft.com/office/drawing/2014/main" id="{00000000-0008-0000-0E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wsDr>
</file>

<file path=xl/drawings/drawing9.xml><?xml version="1.0" encoding="utf-8"?>
<xdr:wsDr xmlns:xdr="http://schemas.openxmlformats.org/drawingml/2006/spreadsheetDrawing" xmlns:a="http://schemas.openxmlformats.org/drawingml/2006/main">
  <xdr:twoCellAnchor>
    <xdr:from>
      <xdr:col>0</xdr:col>
      <xdr:colOff>180975</xdr:colOff>
      <xdr:row>27</xdr:row>
      <xdr:rowOff>144462</xdr:rowOff>
    </xdr:from>
    <xdr:to>
      <xdr:col>6</xdr:col>
      <xdr:colOff>819150</xdr:colOff>
      <xdr:row>47</xdr:row>
      <xdr:rowOff>38100</xdr:rowOff>
    </xdr:to>
    <xdr:graphicFrame macro="">
      <xdr:nvGraphicFramePr>
        <xdr:cNvPr id="3" name="Chart 2">
          <a:extLst>
            <a:ext uri="{FF2B5EF4-FFF2-40B4-BE49-F238E27FC236}">
              <a16:creationId xmlns:a16="http://schemas.microsoft.com/office/drawing/2014/main" id="{A1721623-E646-0745-BBC4-4A91683D69E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Sheets">
  <a:themeElements>
    <a:clrScheme name="ACF">
      <a:dk1>
        <a:srgbClr val="000000"/>
      </a:dk1>
      <a:lt1>
        <a:srgbClr val="FFFFFF"/>
      </a:lt1>
      <a:dk2>
        <a:srgbClr val="414042"/>
      </a:dk2>
      <a:lt2>
        <a:srgbClr val="FFFFFF"/>
      </a:lt2>
      <a:accent1>
        <a:srgbClr val="79B88D"/>
      </a:accent1>
      <a:accent2>
        <a:srgbClr val="007966"/>
      </a:accent2>
      <a:accent3>
        <a:srgbClr val="00B398"/>
      </a:accent3>
      <a:accent4>
        <a:srgbClr val="85D8C8"/>
      </a:accent4>
      <a:accent5>
        <a:srgbClr val="37AD68"/>
      </a:accent5>
      <a:accent6>
        <a:srgbClr val="70AD47"/>
      </a:accent6>
      <a:hlink>
        <a:srgbClr val="37AD68"/>
      </a:hlink>
      <a:folHlink>
        <a:srgbClr val="71BF44"/>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hyperlink" Target="http://acf.org.au/" TargetMode="External"/><Relationship Id="rId4" Type="http://schemas.openxmlformats.org/officeDocument/2006/relationships/comments" Target="../comments1.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3.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1.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2.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A8"/>
  <sheetViews>
    <sheetView workbookViewId="0">
      <selection activeCell="A8" sqref="A8"/>
    </sheetView>
  </sheetViews>
  <sheetFormatPr defaultColWidth="14.453125" defaultRowHeight="15" customHeight="1"/>
  <cols>
    <col min="1" max="1" width="228.453125" customWidth="1"/>
  </cols>
  <sheetData>
    <row r="1" spans="1:1">
      <c r="A1" s="1" t="s">
        <v>0</v>
      </c>
    </row>
    <row r="2" spans="1:1">
      <c r="A2" s="54"/>
    </row>
    <row r="3" spans="1:1">
      <c r="A3" s="1" t="s">
        <v>1</v>
      </c>
    </row>
    <row r="5" spans="1:1">
      <c r="A5" s="1" t="s">
        <v>2</v>
      </c>
    </row>
    <row r="6" spans="1:1">
      <c r="A6" s="1"/>
    </row>
    <row r="7" spans="1:1">
      <c r="A7" s="1"/>
    </row>
    <row r="8" spans="1:1">
      <c r="A8" s="2" t="s">
        <v>3</v>
      </c>
    </row>
  </sheetData>
  <hyperlinks>
    <hyperlink ref="A8" r:id="rId1" xr:uid="{00000000-0004-0000-0000-000000000000}"/>
  </hyperlinks>
  <pageMargins left="0.7" right="0.7" top="0.75" bottom="0.75" header="0.3" footer="0.3"/>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outlinePr summaryBelow="0" summaryRight="0"/>
  </sheetPr>
  <dimension ref="A1:L11"/>
  <sheetViews>
    <sheetView workbookViewId="0">
      <selection activeCell="A4" sqref="A4"/>
    </sheetView>
  </sheetViews>
  <sheetFormatPr defaultColWidth="14.453125" defaultRowHeight="15" customHeight="1"/>
  <cols>
    <col min="1" max="1" width="29.08984375" customWidth="1"/>
  </cols>
  <sheetData>
    <row r="1" spans="1:12" thickBot="1">
      <c r="A1" s="177"/>
      <c r="B1" s="232" t="s">
        <v>923</v>
      </c>
      <c r="C1" s="233"/>
      <c r="D1" s="233"/>
      <c r="E1" s="233"/>
      <c r="F1" s="234"/>
      <c r="G1" s="235" t="s">
        <v>924</v>
      </c>
      <c r="H1" s="233"/>
      <c r="I1" s="233"/>
      <c r="J1" s="233"/>
      <c r="K1" s="233"/>
      <c r="L1" s="234"/>
    </row>
    <row r="2" spans="1:12" thickBot="1">
      <c r="A2" s="195" t="s">
        <v>908</v>
      </c>
      <c r="B2" s="196" t="s">
        <v>603</v>
      </c>
      <c r="C2" s="197" t="s">
        <v>604</v>
      </c>
      <c r="D2" s="197" t="s">
        <v>605</v>
      </c>
      <c r="E2" s="197" t="s">
        <v>606</v>
      </c>
      <c r="F2" s="198" t="s">
        <v>607</v>
      </c>
      <c r="G2" s="197" t="s">
        <v>603</v>
      </c>
      <c r="H2" s="197" t="s">
        <v>604</v>
      </c>
      <c r="I2" s="197" t="s">
        <v>605</v>
      </c>
      <c r="J2" s="197" t="s">
        <v>606</v>
      </c>
      <c r="K2" s="197" t="s">
        <v>607</v>
      </c>
      <c r="L2" s="198" t="s">
        <v>925</v>
      </c>
    </row>
    <row r="3" spans="1:12" ht="14.5">
      <c r="A3" s="178" t="s">
        <v>79</v>
      </c>
      <c r="B3" s="191">
        <f>SUMIFS('Safeguard facility data'!BI$4:BI$312,'Safeguard facility data'!$R$4:$R$312,$A3,'Safeguard facility data'!BI$4:BI$312,"&gt;0")</f>
        <v>10998786</v>
      </c>
      <c r="C3" s="179">
        <f>SUMIFS('Safeguard facility data'!BJ$4:BJ$312,'Safeguard facility data'!$R$4:$R$312,$A3,'Safeguard facility data'!BJ$4:BJ$312,"&gt;0")</f>
        <v>11209787</v>
      </c>
      <c r="D3" s="179">
        <f>SUMIFS('Safeguard facility data'!BK$4:BK$312,'Safeguard facility data'!$R$4:$R$312,$A3,'Safeguard facility data'!BK$4:BK$312,"&gt;0")</f>
        <v>11327335</v>
      </c>
      <c r="E3" s="179">
        <f>SUMIFS('Safeguard facility data'!BL$4:BL$312,'Safeguard facility data'!$R$4:$R$312,$A3,'Safeguard facility data'!BL$4:BL$312,"&gt;0")</f>
        <v>11782612</v>
      </c>
      <c r="F3" s="192">
        <f>SUMIFS('Safeguard facility data'!BM$4:BM$312,'Safeguard facility data'!$R$4:$R$312,$A3,'Safeguard facility data'!BM$4:BM$312,"&gt;0")</f>
        <v>11103226</v>
      </c>
      <c r="G3" s="180" t="s">
        <v>70</v>
      </c>
      <c r="H3" s="181">
        <f t="shared" ref="H3:K3" si="0">(C3/B3)-1</f>
        <v>1.9184026309812641E-2</v>
      </c>
      <c r="I3" s="182">
        <f t="shared" si="0"/>
        <v>1.0486193894674312E-2</v>
      </c>
      <c r="J3" s="182">
        <f t="shared" si="0"/>
        <v>4.0192772615977201E-2</v>
      </c>
      <c r="K3" s="182">
        <f t="shared" si="0"/>
        <v>-5.7660050250318062E-2</v>
      </c>
      <c r="L3" s="183">
        <f t="shared" ref="L3:L10" si="1">AVERAGE(H3:K3)</f>
        <v>3.0507356425365229E-3</v>
      </c>
    </row>
    <row r="4" spans="1:12" ht="14.5">
      <c r="A4" s="178" t="s">
        <v>926</v>
      </c>
      <c r="B4" s="191">
        <f>SUMIFS('Safeguard facility data'!BI$4:BI$312,'Safeguard facility data'!$R$4:$R$312,$A4,'Safeguard facility data'!BI$4:BI$312,"&gt;0")</f>
        <v>16587021</v>
      </c>
      <c r="C4" s="179">
        <f>SUMIFS('Safeguard facility data'!BJ$4:BJ$312,'Safeguard facility data'!$R$4:$R$312,$A4,'Safeguard facility data'!BJ$4:BJ$312,"&gt;0")</f>
        <v>16771062</v>
      </c>
      <c r="D4" s="179">
        <f>SUMIFS('Safeguard facility data'!BK$4:BK$312,'Safeguard facility data'!$R$4:$R$312,$A4,'Safeguard facility data'!BK$4:BK$312,"&gt;0")</f>
        <v>16483128</v>
      </c>
      <c r="E4" s="179">
        <f>SUMIFS('Safeguard facility data'!BL$4:BL$312,'Safeguard facility data'!$R$4:$R$312,$A4,'Safeguard facility data'!BL$4:BL$312,"&gt;0")</f>
        <v>16691058</v>
      </c>
      <c r="F4" s="192">
        <f>SUMIFS('Safeguard facility data'!BM$4:BM$312,'Safeguard facility data'!$R$4:$R$312,$A4,'Safeguard facility data'!BM$4:BM$312,"&gt;0")</f>
        <v>16863458</v>
      </c>
      <c r="G4" s="180" t="s">
        <v>70</v>
      </c>
      <c r="H4" s="181">
        <f t="shared" ref="H4:K4" si="2">(C4/B4)-1</f>
        <v>1.1095482425687031E-2</v>
      </c>
      <c r="I4" s="182">
        <f t="shared" si="2"/>
        <v>-1.7168501314943518E-2</v>
      </c>
      <c r="J4" s="182">
        <f t="shared" si="2"/>
        <v>1.2614717303657486E-2</v>
      </c>
      <c r="K4" s="182">
        <f t="shared" si="2"/>
        <v>1.0328883885011964E-2</v>
      </c>
      <c r="L4" s="183">
        <f t="shared" si="1"/>
        <v>4.2176455748532404E-3</v>
      </c>
    </row>
    <row r="5" spans="1:12" ht="14.5">
      <c r="A5" s="178" t="s">
        <v>29</v>
      </c>
      <c r="B5" s="191">
        <f>SUMIFS('Safeguard facility data'!BI$4:BI$312,'Safeguard facility data'!$R$4:$R$312,$A5,'Safeguard facility data'!BI$4:BI$312,"&gt;0")</f>
        <v>31088231</v>
      </c>
      <c r="C5" s="179">
        <f>SUMIFS('Safeguard facility data'!BJ$4:BJ$312,'Safeguard facility data'!$R$4:$R$312,$A5,'Safeguard facility data'!BJ$4:BJ$312,"&gt;0")</f>
        <v>32878179</v>
      </c>
      <c r="D5" s="179">
        <f>SUMIFS('Safeguard facility data'!BK$4:BK$312,'Safeguard facility data'!$R$4:$R$312,$A5,'Safeguard facility data'!BK$4:BK$312,"&gt;0")</f>
        <v>31183831</v>
      </c>
      <c r="E5" s="179">
        <f>SUMIFS('Safeguard facility data'!BL$4:BL$312,'Safeguard facility data'!$R$4:$R$312,$A5,'Safeguard facility data'!BL$4:BL$312,"&gt;0")</f>
        <v>33744046</v>
      </c>
      <c r="F5" s="192">
        <f>SUMIFS('Safeguard facility data'!BM$4:BM$312,'Safeguard facility data'!$R$4:$R$312,$A5,'Safeguard facility data'!BM$4:BM$312,"&gt;0")</f>
        <v>32525136</v>
      </c>
      <c r="G5" s="180" t="s">
        <v>70</v>
      </c>
      <c r="H5" s="181">
        <f t="shared" ref="H5:K5" si="3">(C5/B5)-1</f>
        <v>5.7576386382357958E-2</v>
      </c>
      <c r="I5" s="182">
        <f t="shared" si="3"/>
        <v>-5.1534119331852257E-2</v>
      </c>
      <c r="J5" s="182">
        <f t="shared" si="3"/>
        <v>8.210072072286434E-2</v>
      </c>
      <c r="K5" s="182">
        <f t="shared" si="3"/>
        <v>-3.6122224347370779E-2</v>
      </c>
      <c r="L5" s="183">
        <f t="shared" si="1"/>
        <v>1.3005190856499815E-2</v>
      </c>
    </row>
    <row r="6" spans="1:12" ht="14.5">
      <c r="A6" s="178" t="s">
        <v>40</v>
      </c>
      <c r="B6" s="191">
        <f>SUMIFS('Safeguard facility data'!BI$4:BI$312,'Safeguard facility data'!$R$4:$R$312,$A6,'Safeguard facility data'!BI$4:BI$312,"&gt;0")</f>
        <v>5915379</v>
      </c>
      <c r="C6" s="179">
        <f>SUMIFS('Safeguard facility data'!BJ$4:BJ$312,'Safeguard facility data'!$R$4:$R$312,$A6,'Safeguard facility data'!BJ$4:BJ$312,"&gt;0")</f>
        <v>5839916</v>
      </c>
      <c r="D6" s="179">
        <f>SUMIFS('Safeguard facility data'!BK$4:BK$312,'Safeguard facility data'!$R$4:$R$312,$A6,'Safeguard facility data'!BK$4:BK$312,"&gt;0")</f>
        <v>5905079</v>
      </c>
      <c r="E6" s="179">
        <f>SUMIFS('Safeguard facility data'!BL$4:BL$312,'Safeguard facility data'!$R$4:$R$312,$A6,'Safeguard facility data'!BL$4:BL$312,"&gt;0")</f>
        <v>5722774</v>
      </c>
      <c r="F6" s="192">
        <f>SUMIFS('Safeguard facility data'!BM$4:BM$312,'Safeguard facility data'!$R$4:$R$312,$A6,'Safeguard facility data'!BM$4:BM$312,"&gt;0")</f>
        <v>5603472</v>
      </c>
      <c r="G6" s="180" t="s">
        <v>70</v>
      </c>
      <c r="H6" s="181">
        <f t="shared" ref="H6:K6" si="4">(C6/B6)-1</f>
        <v>-1.2757086232344506E-2</v>
      </c>
      <c r="I6" s="182">
        <f t="shared" si="4"/>
        <v>1.1158208439984385E-2</v>
      </c>
      <c r="J6" s="182">
        <f t="shared" si="4"/>
        <v>-3.0872575963843962E-2</v>
      </c>
      <c r="K6" s="182">
        <f t="shared" si="4"/>
        <v>-2.0846882997651139E-2</v>
      </c>
      <c r="L6" s="183">
        <f t="shared" si="1"/>
        <v>-1.3329584188463806E-2</v>
      </c>
    </row>
    <row r="7" spans="1:12" ht="14.5">
      <c r="A7" s="178" t="s">
        <v>58</v>
      </c>
      <c r="B7" s="191">
        <f>SUMIFS('Safeguard facility data'!BI$4:BI$312,'Safeguard facility data'!$R$4:$R$312,$A7,'Safeguard facility data'!BI$4:BI$312,"&gt;0")</f>
        <v>38912609</v>
      </c>
      <c r="C7" s="179">
        <f>SUMIFS('Safeguard facility data'!BJ$4:BJ$312,'Safeguard facility data'!$R$4:$R$312,$A7,'Safeguard facility data'!BJ$4:BJ$312,"&gt;0")</f>
        <v>43145892</v>
      </c>
      <c r="D7" s="179">
        <f>SUMIFS('Safeguard facility data'!BK$4:BK$312,'Safeguard facility data'!$R$4:$R$312,$A7,'Safeguard facility data'!BK$4:BK$312,"&gt;0")</f>
        <v>50916189</v>
      </c>
      <c r="E7" s="179">
        <f>SUMIFS('Safeguard facility data'!BL$4:BL$312,'Safeguard facility data'!$R$4:$R$312,$A7,'Safeguard facility data'!BL$4:BL$312,"&gt;0")</f>
        <v>47947146</v>
      </c>
      <c r="F7" s="192">
        <f>SUMIFS('Safeguard facility data'!BM$4:BM$312,'Safeguard facility data'!$R$4:$R$312,$A7,'Safeguard facility data'!BM$4:BM$312,"&gt;0")</f>
        <v>45083031</v>
      </c>
      <c r="G7" s="180" t="s">
        <v>70</v>
      </c>
      <c r="H7" s="181">
        <f t="shared" ref="H7:K7" si="5">(C7/B7)-1</f>
        <v>0.10878949288648321</v>
      </c>
      <c r="I7" s="182">
        <f t="shared" si="5"/>
        <v>0.18009355328660259</v>
      </c>
      <c r="J7" s="182">
        <f t="shared" si="5"/>
        <v>-5.8312357195468789E-2</v>
      </c>
      <c r="K7" s="182">
        <f t="shared" si="5"/>
        <v>-5.9734838023518644E-2</v>
      </c>
      <c r="L7" s="183">
        <f t="shared" si="1"/>
        <v>4.2708962738524592E-2</v>
      </c>
    </row>
    <row r="8" spans="1:12" ht="14.5">
      <c r="A8" s="178" t="s">
        <v>65</v>
      </c>
      <c r="B8" s="191">
        <f>SUMIFS('Safeguard facility data'!BI$4:BI$312,'Safeguard facility data'!$R$4:$R$312,$A8,'Safeguard facility data'!BI$4:BI$312,"&gt;0")</f>
        <v>12970435</v>
      </c>
      <c r="C8" s="179">
        <f>SUMIFS('Safeguard facility data'!BJ$4:BJ$312,'Safeguard facility data'!$R$4:$R$312,$A8,'Safeguard facility data'!BJ$4:BJ$312,"&gt;0")</f>
        <v>13431366</v>
      </c>
      <c r="D8" s="179">
        <f>SUMIFS('Safeguard facility data'!BK$4:BK$312,'Safeguard facility data'!$R$4:$R$312,$A8,'Safeguard facility data'!BK$4:BK$312,"&gt;0")</f>
        <v>13621851</v>
      </c>
      <c r="E8" s="179">
        <f>SUMIFS('Safeguard facility data'!BL$4:BL$312,'Safeguard facility data'!$R$4:$R$312,$A8,'Safeguard facility data'!BL$4:BL$312,"&gt;0")</f>
        <v>13979653</v>
      </c>
      <c r="F8" s="192">
        <f>SUMIFS('Safeguard facility data'!BM$4:BM$312,'Safeguard facility data'!$R$4:$R$312,$A8,'Safeguard facility data'!BM$4:BM$312,"&gt;0")</f>
        <v>14490758</v>
      </c>
      <c r="G8" s="180" t="s">
        <v>70</v>
      </c>
      <c r="H8" s="181">
        <f t="shared" ref="H8:K8" si="6">(C8/B8)-1</f>
        <v>3.5537050222294031E-2</v>
      </c>
      <c r="I8" s="182">
        <f t="shared" si="6"/>
        <v>1.4182101805579661E-2</v>
      </c>
      <c r="J8" s="182">
        <f t="shared" si="6"/>
        <v>2.6266768003849084E-2</v>
      </c>
      <c r="K8" s="182">
        <f t="shared" si="6"/>
        <v>3.656063566098533E-2</v>
      </c>
      <c r="L8" s="183">
        <f t="shared" si="1"/>
        <v>2.8136638923177026E-2</v>
      </c>
    </row>
    <row r="9" spans="1:12" ht="14.5">
      <c r="A9" s="178" t="s">
        <v>72</v>
      </c>
      <c r="B9" s="191">
        <f>SUMIFS('Safeguard facility data'!BI$4:BI$312,'Safeguard facility data'!$R$4:$R$312,$A9,'Safeguard facility data'!BI$4:BI$312,"&gt;0")</f>
        <v>10394819</v>
      </c>
      <c r="C9" s="179">
        <f>SUMIFS('Safeguard facility data'!BJ$4:BJ$312,'Safeguard facility data'!$R$4:$R$312,$A9,'Safeguard facility data'!BJ$4:BJ$312,"&gt;0")</f>
        <v>12289885</v>
      </c>
      <c r="D9" s="179">
        <f>SUMIFS('Safeguard facility data'!BK$4:BK$312,'Safeguard facility data'!$R$4:$R$312,$A9,'Safeguard facility data'!BK$4:BK$312,"&gt;0")</f>
        <v>12200277</v>
      </c>
      <c r="E9" s="179">
        <f>SUMIFS('Safeguard facility data'!BL$4:BL$312,'Safeguard facility data'!$R$4:$R$312,$A9,'Safeguard facility data'!BL$4:BL$312,"&gt;0")</f>
        <v>11278512</v>
      </c>
      <c r="F9" s="192">
        <f>SUMIFS('Safeguard facility data'!BM$4:BM$312,'Safeguard facility data'!$R$4:$R$312,$A9,'Safeguard facility data'!BM$4:BM$312,"&gt;0")</f>
        <v>10363952</v>
      </c>
      <c r="G9" s="180" t="s">
        <v>70</v>
      </c>
      <c r="H9" s="181">
        <f t="shared" ref="H9:K9" si="7">(C9/B9)-1</f>
        <v>0.18230870590435488</v>
      </c>
      <c r="I9" s="182">
        <f t="shared" si="7"/>
        <v>-7.291199226030165E-3</v>
      </c>
      <c r="J9" s="182">
        <f t="shared" si="7"/>
        <v>-7.5552792776754196E-2</v>
      </c>
      <c r="K9" s="182">
        <f t="shared" si="7"/>
        <v>-8.1088710993081348E-2</v>
      </c>
      <c r="L9" s="183">
        <f t="shared" si="1"/>
        <v>4.5940007271222938E-3</v>
      </c>
    </row>
    <row r="10" spans="1:12" thickBot="1">
      <c r="A10" s="184" t="s">
        <v>85</v>
      </c>
      <c r="B10" s="193">
        <f>SUMIFS('Safeguard facility data'!BI$4:BI$312,'Safeguard facility data'!$R$4:$R$312,$A10,'Safeguard facility data'!BI$4:BI$312,"&gt;0")</f>
        <v>0</v>
      </c>
      <c r="C10" s="185">
        <f>SUMIFS('Safeguard facility data'!BJ$4:BJ$312,'Safeguard facility data'!$R$4:$R$312,$A10,'Safeguard facility data'!BJ$4:BJ$312,"&gt;0")</f>
        <v>0</v>
      </c>
      <c r="D10" s="185">
        <f>SUMIFS('Safeguard facility data'!BK$4:BK$312,'Safeguard facility data'!$R$4:$R$312,$A10,'Safeguard facility data'!BK$4:BK$312,"&gt;0")</f>
        <v>113404</v>
      </c>
      <c r="E10" s="185">
        <f>SUMIFS('Safeguard facility data'!BL$4:BL$312,'Safeguard facility data'!$R$4:$R$312,$A10,'Safeguard facility data'!BL$4:BL$312,"&gt;0")</f>
        <v>110628</v>
      </c>
      <c r="F10" s="194">
        <f>SUMIFS('Safeguard facility data'!BM$4:BM$312,'Safeguard facility data'!$R$4:$R$312,$A10,'Safeguard facility data'!BM$4:BM$312,"&gt;0")</f>
        <v>238912</v>
      </c>
      <c r="G10" s="186" t="s">
        <v>70</v>
      </c>
      <c r="H10" s="187" t="s">
        <v>70</v>
      </c>
      <c r="I10" s="188" t="s">
        <v>70</v>
      </c>
      <c r="J10" s="189">
        <f t="shared" ref="J10:K10" si="8">(E10/D10)-1</f>
        <v>-2.4478854361398183E-2</v>
      </c>
      <c r="K10" s="189">
        <f t="shared" si="8"/>
        <v>1.1595979318074989</v>
      </c>
      <c r="L10" s="190">
        <f t="shared" si="1"/>
        <v>0.56755953872305032</v>
      </c>
    </row>
    <row r="11" spans="1:12" ht="14.5">
      <c r="A11" s="54"/>
      <c r="B11" s="67"/>
      <c r="C11" s="67"/>
      <c r="D11" s="67"/>
      <c r="E11" s="67"/>
      <c r="F11" s="67"/>
      <c r="G11" s="61"/>
      <c r="H11" s="91"/>
      <c r="I11" s="94"/>
      <c r="J11" s="93"/>
      <c r="K11" s="93"/>
      <c r="L11" s="95"/>
    </row>
  </sheetData>
  <mergeCells count="2">
    <mergeCell ref="B1:F1"/>
    <mergeCell ref="G1:L1"/>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outlinePr summaryBelow="0" summaryRight="0"/>
  </sheetPr>
  <dimension ref="A1:G53"/>
  <sheetViews>
    <sheetView workbookViewId="0">
      <selection activeCell="H6" sqref="H6"/>
    </sheetView>
  </sheetViews>
  <sheetFormatPr defaultColWidth="14.453125" defaultRowHeight="15" customHeight="1"/>
  <cols>
    <col min="1" max="1" width="55.26953125" customWidth="1"/>
  </cols>
  <sheetData>
    <row r="1" spans="1:7" ht="78.75" customHeight="1">
      <c r="A1" s="122" t="s">
        <v>457</v>
      </c>
      <c r="B1" s="242" t="s">
        <v>2068</v>
      </c>
      <c r="C1" s="223"/>
      <c r="D1" s="223"/>
      <c r="E1" s="223"/>
      <c r="F1" s="223"/>
      <c r="G1" s="223"/>
    </row>
    <row r="2" spans="1:7" ht="14.5">
      <c r="A2" s="97"/>
      <c r="B2" s="97"/>
      <c r="C2" s="97"/>
      <c r="D2" s="97"/>
      <c r="E2" s="97"/>
      <c r="F2" s="97"/>
      <c r="G2" s="97"/>
    </row>
    <row r="3" spans="1:7" ht="14.5">
      <c r="A3" s="243" t="s">
        <v>2063</v>
      </c>
      <c r="B3" s="244"/>
      <c r="C3" s="244"/>
      <c r="D3" s="244"/>
      <c r="E3" s="244"/>
      <c r="F3" s="244"/>
      <c r="G3" s="237"/>
    </row>
    <row r="4" spans="1:7" ht="14.5">
      <c r="A4" s="124" t="s">
        <v>908</v>
      </c>
      <c r="B4" s="98">
        <v>2017</v>
      </c>
      <c r="C4" s="98">
        <v>2018</v>
      </c>
      <c r="D4" s="98">
        <v>2019</v>
      </c>
      <c r="E4" s="98">
        <v>2020</v>
      </c>
      <c r="F4" s="98">
        <v>2021</v>
      </c>
      <c r="G4" s="98">
        <v>2022</v>
      </c>
    </row>
    <row r="5" spans="1:7" ht="14.5">
      <c r="A5" s="124" t="s">
        <v>2064</v>
      </c>
      <c r="B5" s="99">
        <f>VLOOKUP(A1,'Safeguard facility data'!$A$4:$BX312,67,0)</f>
        <v>168540</v>
      </c>
      <c r="C5" s="99">
        <f>VLOOKUP(A1,'Safeguard facility data'!$A$4:$BX312,68,0)</f>
        <v>168540</v>
      </c>
      <c r="D5" s="99">
        <f>VLOOKUP(A1,'Safeguard facility data'!$A$4:$BX312,69,0)</f>
        <v>168540</v>
      </c>
      <c r="E5" s="99">
        <f>VLOOKUP(A1,'Safeguard facility data'!$A$4:$BX312,70,0)</f>
        <v>168540</v>
      </c>
      <c r="F5" s="100" t="s">
        <v>292</v>
      </c>
      <c r="G5" s="100" t="s">
        <v>292</v>
      </c>
    </row>
    <row r="6" spans="1:7" ht="145">
      <c r="A6" s="124" t="s">
        <v>2065</v>
      </c>
      <c r="B6" s="99" t="str">
        <f>VLOOKUP($A$1,'Safeguard facility data'!$A$4:$BX312,48,0)</f>
        <v>no baseline</v>
      </c>
      <c r="C6" s="99" t="str">
        <f>VLOOKUP(A1,'Safeguard facility data'!$A$4:$BN312,49,0)</f>
        <v>no baseline</v>
      </c>
      <c r="D6" s="99" t="str">
        <f>VLOOKUP(A1,'Safeguard facility data'!$A$4:$BN312,50,0)</f>
        <v>Multi-year monitoring period (underlying BDT: Calculated baseline: Transitional calculated baseline criteria)</v>
      </c>
      <c r="E6" s="101" t="str">
        <f>VLOOKUP(A1,'Safeguard facility data'!$A$4:$BN312,51,0)</f>
        <v>Multi-year monitoring period (underlying BDT: Calculated baseline: Transitional calculated baseline criteria)</v>
      </c>
      <c r="F6" s="101" t="str">
        <f>VLOOKUP(A1,'Safeguard facility data'!$A$4:$BN312,52,0)</f>
        <v>Multi-year monitoring period (underlying BDT: Calculated baseline: Transitional calculated baseline criteria)</v>
      </c>
      <c r="G6" s="99" t="str">
        <f>VLOOKUP(A1,'Safeguard facility data'!$A$4:$BN312,53,0)</f>
        <v>no baseline</v>
      </c>
    </row>
    <row r="7" spans="1:7" ht="14.5">
      <c r="A7" s="124" t="s">
        <v>2066</v>
      </c>
      <c r="B7" s="102" t="str">
        <f>VLOOKUP(A1,'Safeguard facility data'!$A$4:$BN312,54,0)</f>
        <v>no baseline</v>
      </c>
      <c r="C7" s="102" t="str">
        <f>VLOOKUP(A1,'Safeguard facility data'!$A$4:$BN312,55,0)</f>
        <v>no baseline</v>
      </c>
      <c r="D7" s="102">
        <f>VLOOKUP(A1,'Safeguard facility data'!$A$4:$BN312,56,0)</f>
        <v>663971</v>
      </c>
      <c r="E7" s="99">
        <f>VLOOKUP(A1,'Safeguard facility data'!$A$4:$BN312,57,0)</f>
        <v>665790</v>
      </c>
      <c r="F7" s="102">
        <f>VLOOKUP(A1,'Safeguard facility data'!$A$4:$BN312,58,0)</f>
        <v>732330</v>
      </c>
      <c r="G7" s="102">
        <f>VLOOKUP(A1,'Safeguard facility data'!$A$4:$BN312,59,0)</f>
        <v>0</v>
      </c>
    </row>
    <row r="8" spans="1:7" ht="14.5">
      <c r="A8" s="124" t="s">
        <v>956</v>
      </c>
      <c r="B8" s="99" t="str">
        <f>VLOOKUP(A1,'Safeguard facility data'!$A$4:$BN312,61,0)</f>
        <v>n/a</v>
      </c>
      <c r="C8" s="102" t="str">
        <f>VLOOKUP(A1,'Safeguard facility data'!$A$4:$BN312,62,0)</f>
        <v>n/a</v>
      </c>
      <c r="D8" s="99">
        <f>VLOOKUP(A1,'Safeguard facility data'!$A$4:$BN312,63,0)</f>
        <v>185921</v>
      </c>
      <c r="E8" s="99">
        <f>VLOOKUP(A1,'Safeguard facility data'!$A$4:$BN312,64,0)</f>
        <v>448683</v>
      </c>
      <c r="F8" s="99">
        <f>VLOOKUP(A1,'Safeguard facility data'!$A$4:$BN312,65,0)</f>
        <v>675893</v>
      </c>
      <c r="G8" s="99"/>
    </row>
    <row r="9" spans="1:7" ht="14.5">
      <c r="A9" s="97"/>
      <c r="B9" s="97"/>
      <c r="C9" s="97"/>
      <c r="D9" s="97"/>
      <c r="E9" s="97"/>
      <c r="F9" s="97"/>
      <c r="G9" s="97"/>
    </row>
    <row r="10" spans="1:7" ht="22.5" customHeight="1">
      <c r="A10" s="103" t="s">
        <v>929</v>
      </c>
      <c r="B10" s="245">
        <f>SUM(B8:G8)</f>
        <v>1310497</v>
      </c>
      <c r="C10" s="237"/>
      <c r="D10" s="104" t="s">
        <v>930</v>
      </c>
      <c r="E10" s="246" t="s">
        <v>931</v>
      </c>
      <c r="F10" s="105">
        <f t="shared" ref="F10:F11" si="0">B10/4.6</f>
        <v>284890.65217391308</v>
      </c>
      <c r="G10" s="246" t="s">
        <v>932</v>
      </c>
    </row>
    <row r="11" spans="1:7" ht="22.5" customHeight="1">
      <c r="A11" s="171" t="s">
        <v>2067</v>
      </c>
      <c r="B11" s="247">
        <f>B10/5</f>
        <v>262099.4</v>
      </c>
      <c r="C11" s="248"/>
      <c r="D11" s="104" t="s">
        <v>930</v>
      </c>
      <c r="E11" s="223"/>
      <c r="F11" s="105">
        <f t="shared" si="0"/>
        <v>56978.130434782615</v>
      </c>
      <c r="G11" s="223"/>
    </row>
    <row r="12" spans="1:7" ht="14.5">
      <c r="A12" s="124" t="s">
        <v>11</v>
      </c>
      <c r="B12" s="236">
        <f>VLOOKUP($A$1,'Safeguard facility data'!$A$4:$BM316,15,0)</f>
        <v>0</v>
      </c>
      <c r="C12" s="237"/>
      <c r="D12" s="97"/>
      <c r="E12" s="97"/>
      <c r="F12" s="97"/>
      <c r="G12" s="97"/>
    </row>
    <row r="13" spans="1:7" ht="14.5">
      <c r="A13" s="106" t="s">
        <v>933</v>
      </c>
      <c r="B13" s="236" t="str">
        <f>VLOOKUP($A$1,'Safeguard facility data'!$A$4:$BM316,7,0)</f>
        <v>Muswellbrook</v>
      </c>
      <c r="C13" s="237"/>
      <c r="D13" s="97"/>
      <c r="E13" s="97"/>
      <c r="F13" s="97"/>
      <c r="G13" s="97"/>
    </row>
    <row r="14" spans="1:7" ht="14.5">
      <c r="A14" s="106" t="s">
        <v>934</v>
      </c>
      <c r="B14" s="236" t="str">
        <f>VLOOKUP($A$1,'Safeguard facility data'!$A$4:$BM316,8,0)</f>
        <v>NSW</v>
      </c>
      <c r="C14" s="237"/>
      <c r="D14" s="97"/>
      <c r="E14" s="97"/>
      <c r="F14" s="97"/>
      <c r="G14" s="97"/>
    </row>
    <row r="15" spans="1:7" ht="14.5">
      <c r="A15" s="106" t="s">
        <v>935</v>
      </c>
      <c r="B15" s="236">
        <f>VLOOKUP($A$1,'Safeguard facility data'!$A$4:$BM316,9,0)</f>
        <v>2333</v>
      </c>
      <c r="C15" s="237"/>
      <c r="D15" s="97"/>
      <c r="E15" s="97"/>
      <c r="F15" s="97"/>
      <c r="G15" s="97"/>
    </row>
    <row r="16" spans="1:7" ht="14.5">
      <c r="A16" s="106" t="s">
        <v>936</v>
      </c>
      <c r="B16" s="236">
        <f>VLOOKUP($A$1,'Safeguard facility data'!$A$4:$BM316,10,0)</f>
        <v>-32.25591661</v>
      </c>
      <c r="C16" s="237"/>
      <c r="D16" s="97"/>
      <c r="E16" s="97"/>
      <c r="F16" s="97"/>
      <c r="G16" s="97"/>
    </row>
    <row r="17" spans="1:7" ht="14.5">
      <c r="A17" s="106" t="s">
        <v>937</v>
      </c>
      <c r="B17" s="239">
        <f>VLOOKUP($A$1,'Safeguard facility data'!$A$4:$BM316,11,0)</f>
        <v>150.84998469999999</v>
      </c>
      <c r="C17" s="237"/>
      <c r="D17" s="97"/>
      <c r="E17" s="97"/>
      <c r="F17" s="97"/>
      <c r="G17" s="97"/>
    </row>
    <row r="18" spans="1:7" ht="14.5">
      <c r="A18" s="106" t="s">
        <v>938</v>
      </c>
      <c r="B18" s="236" t="str">
        <f>VLOOKUP($A$1,'Safeguard facility data'!$A$4:$BN316,5,0)</f>
        <v>34 608 495 441</v>
      </c>
      <c r="C18" s="237"/>
      <c r="D18" s="97"/>
      <c r="E18" s="97"/>
      <c r="F18" s="97"/>
      <c r="G18" s="97"/>
    </row>
    <row r="19" spans="1:7" ht="14.5">
      <c r="A19" s="106" t="s">
        <v>939</v>
      </c>
      <c r="B19" s="240" t="str">
        <f>VLOOKUP($A$1,'Safeguard facility data'!$A$4:$BN316,3,0)</f>
        <v>MACH ENERGY AUSTRALIA PTY LTD</v>
      </c>
      <c r="C19" s="237"/>
      <c r="D19" s="97"/>
      <c r="E19" s="97"/>
      <c r="F19" s="97"/>
      <c r="G19" s="97"/>
    </row>
    <row r="20" spans="1:7" ht="14.5">
      <c r="A20" s="98" t="s">
        <v>940</v>
      </c>
      <c r="B20" s="240" t="str">
        <f>VLOOKUP($A$1,'Safeguard facility data'!$A$4:$BN316,4,0)</f>
        <v xml:space="preserve">Droxford International </v>
      </c>
      <c r="C20" s="237"/>
      <c r="D20" s="97"/>
      <c r="E20" s="97"/>
      <c r="F20" s="97"/>
      <c r="G20" s="97"/>
    </row>
    <row r="21" spans="1:7" ht="14.5">
      <c r="A21" s="98" t="s">
        <v>941</v>
      </c>
      <c r="B21" s="236" t="str">
        <f>VLOOKUP($A$1,'Safeguard facility data'!$A$4:$BM316,34,0)</f>
        <v>yes</v>
      </c>
      <c r="C21" s="237"/>
      <c r="D21" s="97"/>
      <c r="E21" s="97"/>
      <c r="F21" s="97"/>
      <c r="G21" s="97"/>
    </row>
    <row r="22" spans="1:7" ht="14.5">
      <c r="A22" s="106" t="s">
        <v>919</v>
      </c>
      <c r="B22" s="241" t="str">
        <f>VLOOKUP($A$1,'Safeguard facility data'!$A$4:$BM316,17,0)</f>
        <v>Coal Mining</v>
      </c>
      <c r="C22" s="237"/>
      <c r="D22" s="97"/>
      <c r="E22" s="97"/>
      <c r="F22" s="97"/>
      <c r="G22" s="97"/>
    </row>
    <row r="23" spans="1:7" ht="14.5">
      <c r="A23" s="98" t="s">
        <v>13</v>
      </c>
      <c r="B23" s="236" t="str">
        <f>VLOOKUP($A$1,'Safeguard facility data'!$A$4:$BM316,35,0)</f>
        <v>100% thermal</v>
      </c>
      <c r="C23" s="237"/>
      <c r="D23" s="97"/>
      <c r="E23" s="97"/>
      <c r="F23" s="97"/>
      <c r="G23" s="97"/>
    </row>
    <row r="24" spans="1:7" ht="14.5">
      <c r="A24" s="98" t="s">
        <v>9</v>
      </c>
      <c r="B24" s="236" t="str">
        <f>VLOOKUP($A$1,'Safeguard facility data'!$A$4:$BM316,37,0)</f>
        <v>open cut</v>
      </c>
      <c r="C24" s="237"/>
      <c r="D24" s="97"/>
      <c r="E24" s="97"/>
      <c r="F24" s="97"/>
      <c r="G24" s="97"/>
    </row>
    <row r="25" spans="1:7" ht="14.5">
      <c r="A25" s="98" t="s">
        <v>942</v>
      </c>
      <c r="B25" s="236" t="str">
        <f>VLOOKUP($A$1,'Safeguard facility data'!$A$4:$BM316,38,0)</f>
        <v>Sydney Basin</v>
      </c>
      <c r="C25" s="237"/>
      <c r="D25" s="97"/>
      <c r="E25" s="97"/>
      <c r="F25" s="97"/>
      <c r="G25" s="97"/>
    </row>
    <row r="26" spans="1:7" ht="14.5">
      <c r="A26" s="107" t="s">
        <v>943</v>
      </c>
      <c r="B26" s="236">
        <f>VLOOKUP($A$1,'Safeguard facility data'!$A$4:$BM317,14,0)</f>
        <v>2026</v>
      </c>
      <c r="C26" s="237"/>
      <c r="D26" s="97"/>
      <c r="E26" s="97"/>
      <c r="F26" s="97"/>
      <c r="G26" s="97"/>
    </row>
    <row r="27" spans="1:7" ht="14.5">
      <c r="A27" s="98" t="s">
        <v>944</v>
      </c>
      <c r="B27" s="238" t="str">
        <f>VLOOKUP($A$1,'Safeguard facility data'!$A$4:$BM318,39,0)</f>
        <v>Assessment</v>
      </c>
      <c r="C27" s="237"/>
      <c r="D27" s="97"/>
      <c r="E27" s="97"/>
      <c r="F27" s="97"/>
      <c r="G27" s="97"/>
    </row>
    <row r="28" spans="1:7" ht="14.5">
      <c r="A28" s="108"/>
      <c r="B28" s="109"/>
      <c r="C28" s="109"/>
      <c r="D28" s="97"/>
      <c r="E28" s="97"/>
      <c r="F28" s="97"/>
      <c r="G28" s="97"/>
    </row>
    <row r="29" spans="1:7" ht="14.5">
      <c r="A29" s="108"/>
      <c r="B29" s="109"/>
      <c r="C29" s="109"/>
      <c r="D29" s="97"/>
      <c r="E29" s="97"/>
      <c r="F29" s="97"/>
      <c r="G29" s="97"/>
    </row>
    <row r="30" spans="1:7" ht="14.5">
      <c r="A30" s="108"/>
      <c r="B30" s="109"/>
      <c r="C30" s="109"/>
      <c r="D30" s="97"/>
      <c r="E30" s="97"/>
      <c r="F30" s="97"/>
      <c r="G30" s="97"/>
    </row>
    <row r="31" spans="1:7" ht="14.5">
      <c r="A31" s="108"/>
      <c r="B31" s="109"/>
      <c r="C31" s="109"/>
      <c r="D31" s="97"/>
      <c r="E31" s="97"/>
      <c r="F31" s="97"/>
      <c r="G31" s="97"/>
    </row>
    <row r="32" spans="1:7" ht="14.5">
      <c r="A32" s="108"/>
      <c r="B32" s="109"/>
      <c r="C32" s="109"/>
      <c r="D32" s="97"/>
      <c r="E32" s="97"/>
      <c r="F32" s="97"/>
      <c r="G32" s="97"/>
    </row>
    <row r="33" spans="1:7" ht="14.5">
      <c r="A33" s="108"/>
      <c r="B33" s="109"/>
      <c r="C33" s="109"/>
      <c r="D33" s="97"/>
      <c r="E33" s="97"/>
      <c r="F33" s="97"/>
      <c r="G33" s="97"/>
    </row>
    <row r="34" spans="1:7" ht="14.5">
      <c r="A34" s="108"/>
      <c r="B34" s="109"/>
      <c r="C34" s="109"/>
      <c r="D34" s="97"/>
      <c r="E34" s="97"/>
      <c r="F34" s="97"/>
      <c r="G34" s="97"/>
    </row>
    <row r="35" spans="1:7" ht="14.5">
      <c r="A35" s="108"/>
      <c r="B35" s="109"/>
      <c r="C35" s="109"/>
      <c r="D35" s="97"/>
      <c r="E35" s="97"/>
      <c r="F35" s="97"/>
      <c r="G35" s="97"/>
    </row>
    <row r="36" spans="1:7" ht="14.5">
      <c r="A36" s="108"/>
      <c r="B36" s="109"/>
      <c r="C36" s="109"/>
      <c r="D36" s="97"/>
      <c r="E36" s="97"/>
      <c r="F36" s="97"/>
      <c r="G36" s="97"/>
    </row>
    <row r="37" spans="1:7" ht="14.5">
      <c r="A37" s="108"/>
      <c r="B37" s="109"/>
      <c r="C37" s="109"/>
      <c r="D37" s="97"/>
      <c r="E37" s="97"/>
      <c r="F37" s="97"/>
      <c r="G37" s="97"/>
    </row>
    <row r="38" spans="1:7" ht="14.5">
      <c r="A38" s="108"/>
      <c r="B38" s="109"/>
      <c r="C38" s="109"/>
      <c r="D38" s="97"/>
      <c r="E38" s="97"/>
      <c r="F38" s="97"/>
      <c r="G38" s="97"/>
    </row>
    <row r="39" spans="1:7" ht="14.5">
      <c r="A39" s="108"/>
      <c r="B39" s="109"/>
      <c r="C39" s="109"/>
      <c r="D39" s="97"/>
      <c r="E39" s="97"/>
      <c r="F39" s="97"/>
      <c r="G39" s="97"/>
    </row>
    <row r="40" spans="1:7" ht="14.5">
      <c r="A40" s="108"/>
      <c r="B40" s="109"/>
      <c r="C40" s="109"/>
      <c r="D40" s="97"/>
      <c r="E40" s="97"/>
      <c r="F40" s="97"/>
      <c r="G40" s="97"/>
    </row>
    <row r="41" spans="1:7" ht="14.5">
      <c r="A41" s="108"/>
      <c r="B41" s="109"/>
      <c r="C41" s="109"/>
      <c r="D41" s="97"/>
      <c r="E41" s="97"/>
      <c r="F41" s="97"/>
      <c r="G41" s="97"/>
    </row>
    <row r="42" spans="1:7" ht="14.5">
      <c r="A42" s="108"/>
      <c r="B42" s="109"/>
      <c r="C42" s="109"/>
      <c r="D42" s="97"/>
      <c r="E42" s="97"/>
      <c r="F42" s="97"/>
      <c r="G42" s="97"/>
    </row>
    <row r="43" spans="1:7" ht="15" customHeight="1">
      <c r="A43" s="123"/>
      <c r="B43" s="123"/>
      <c r="C43" s="123"/>
      <c r="D43" s="123"/>
      <c r="E43" s="123"/>
      <c r="F43" s="123"/>
      <c r="G43" s="123"/>
    </row>
    <row r="44" spans="1:7" ht="15" customHeight="1">
      <c r="A44" s="123"/>
      <c r="B44" s="123"/>
      <c r="C44" s="123"/>
      <c r="D44" s="123"/>
      <c r="E44" s="123"/>
      <c r="F44" s="123"/>
      <c r="G44" s="123"/>
    </row>
    <row r="45" spans="1:7" ht="15" customHeight="1">
      <c r="A45" s="123"/>
      <c r="B45" s="123"/>
      <c r="C45" s="123"/>
      <c r="D45" s="123"/>
      <c r="E45" s="123"/>
      <c r="F45" s="123"/>
      <c r="G45" s="123"/>
    </row>
    <row r="46" spans="1:7" ht="15" customHeight="1">
      <c r="A46" s="123"/>
      <c r="B46" s="123"/>
      <c r="C46" s="123"/>
      <c r="D46" s="123"/>
      <c r="E46" s="123"/>
      <c r="F46" s="123"/>
      <c r="G46" s="123"/>
    </row>
    <row r="47" spans="1:7" ht="15" customHeight="1">
      <c r="A47" s="123"/>
      <c r="B47" s="123"/>
      <c r="C47" s="123"/>
      <c r="D47" s="123"/>
      <c r="E47" s="123"/>
      <c r="F47" s="123"/>
      <c r="G47" s="123"/>
    </row>
    <row r="48" spans="1:7" ht="15" customHeight="1">
      <c r="A48" s="123"/>
      <c r="B48" s="123"/>
      <c r="C48" s="123"/>
      <c r="D48" s="123"/>
      <c r="E48" s="123"/>
      <c r="F48" s="123"/>
      <c r="G48" s="123"/>
    </row>
    <row r="49" spans="1:7" ht="15" customHeight="1">
      <c r="A49" s="125"/>
      <c r="B49" s="125"/>
      <c r="C49" s="125"/>
      <c r="D49" s="125"/>
      <c r="E49" s="125"/>
      <c r="F49" s="125"/>
      <c r="G49" s="125"/>
    </row>
    <row r="50" spans="1:7" ht="15" customHeight="1">
      <c r="A50" s="125"/>
      <c r="B50" s="125"/>
      <c r="C50" s="125"/>
      <c r="D50" s="125"/>
      <c r="E50" s="125"/>
      <c r="F50" s="125"/>
      <c r="G50" s="125"/>
    </row>
    <row r="51" spans="1:7" ht="15" customHeight="1">
      <c r="A51" s="125"/>
      <c r="B51" s="125"/>
      <c r="C51" s="125"/>
      <c r="D51" s="125"/>
      <c r="E51" s="125"/>
      <c r="F51" s="125"/>
      <c r="G51" s="125"/>
    </row>
    <row r="52" spans="1:7" ht="15" customHeight="1">
      <c r="A52" s="125"/>
      <c r="B52" s="125"/>
      <c r="C52" s="125"/>
      <c r="D52" s="125"/>
      <c r="E52" s="125"/>
      <c r="F52" s="125"/>
      <c r="G52" s="125"/>
    </row>
    <row r="53" spans="1:7" ht="15" customHeight="1">
      <c r="A53" s="125"/>
      <c r="B53" s="125"/>
      <c r="C53" s="125"/>
      <c r="D53" s="125"/>
      <c r="E53" s="125"/>
      <c r="F53" s="125"/>
      <c r="G53" s="125"/>
    </row>
  </sheetData>
  <mergeCells count="22">
    <mergeCell ref="B1:G1"/>
    <mergeCell ref="A3:G3"/>
    <mergeCell ref="B10:C10"/>
    <mergeCell ref="E10:E11"/>
    <mergeCell ref="G10:G11"/>
    <mergeCell ref="B11:C11"/>
    <mergeCell ref="B12:C12"/>
    <mergeCell ref="B20:C20"/>
    <mergeCell ref="B21:C21"/>
    <mergeCell ref="B22:C22"/>
    <mergeCell ref="B23:C23"/>
    <mergeCell ref="B24:C24"/>
    <mergeCell ref="B25:C25"/>
    <mergeCell ref="B26:C26"/>
    <mergeCell ref="B27:C27"/>
    <mergeCell ref="B13:C13"/>
    <mergeCell ref="B14:C14"/>
    <mergeCell ref="B15:C15"/>
    <mergeCell ref="B16:C16"/>
    <mergeCell ref="B17:C17"/>
    <mergeCell ref="B18:C18"/>
    <mergeCell ref="B19:C19"/>
  </mergeCells>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allowBlank="1" showErrorMessage="1" xr:uid="{00000000-0002-0000-1000-000000000000}">
          <x14:formula1>
            <xm:f>'Safeguard facility data'!A4:A312</xm:f>
          </x14:formula1>
          <xm:sqref>A1</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outlinePr summaryBelow="0" summaryRight="0"/>
  </sheetPr>
  <dimension ref="A1:G46"/>
  <sheetViews>
    <sheetView workbookViewId="0">
      <selection activeCell="H4" sqref="H4"/>
    </sheetView>
  </sheetViews>
  <sheetFormatPr defaultColWidth="14.453125" defaultRowHeight="15" customHeight="1"/>
  <cols>
    <col min="1" max="1" width="59.08984375" customWidth="1"/>
  </cols>
  <sheetData>
    <row r="1" spans="1:7" ht="78.75" customHeight="1">
      <c r="A1" s="96" t="s">
        <v>121</v>
      </c>
      <c r="B1" s="249" t="s">
        <v>2089</v>
      </c>
      <c r="C1" s="223"/>
      <c r="D1" s="223"/>
      <c r="E1" s="223"/>
      <c r="F1" s="223"/>
      <c r="G1" s="223"/>
    </row>
    <row r="2" spans="1:7" ht="14.5">
      <c r="A2" s="97"/>
      <c r="B2" s="97"/>
      <c r="C2" s="97"/>
      <c r="D2" s="97"/>
      <c r="E2" s="97"/>
      <c r="F2" s="97"/>
      <c r="G2" s="97"/>
    </row>
    <row r="3" spans="1:7" ht="14.5">
      <c r="A3" s="250" t="s">
        <v>927</v>
      </c>
      <c r="B3" s="244"/>
      <c r="C3" s="244"/>
      <c r="D3" s="244"/>
      <c r="E3" s="244"/>
      <c r="F3" s="244"/>
      <c r="G3" s="237"/>
    </row>
    <row r="4" spans="1:7" ht="14.5">
      <c r="A4" s="98" t="s">
        <v>928</v>
      </c>
      <c r="B4" s="98">
        <v>2017</v>
      </c>
      <c r="C4" s="98">
        <v>2018</v>
      </c>
      <c r="D4" s="98">
        <v>2019</v>
      </c>
      <c r="E4" s="98">
        <v>2020</v>
      </c>
      <c r="F4" s="98">
        <v>2021</v>
      </c>
      <c r="G4" s="98">
        <v>2022</v>
      </c>
    </row>
    <row r="5" spans="1:7" ht="14.5">
      <c r="A5" s="98" t="s">
        <v>2069</v>
      </c>
      <c r="B5" s="99">
        <f>SUMIFS('Safeguard facility data'!BB3:BB312,'Safeguard facility data'!Q3:Q312,A1,'Safeguard facility data'!BB3:BB312,"&gt;0")</f>
        <v>40707124</v>
      </c>
      <c r="C5" s="110">
        <f>SUMIFS('Safeguard facility data'!BC3:BC312,'Safeguard facility data'!Q3:Q312,A1,'Safeguard facility data'!BC3:BC312,"&gt;0")</f>
        <v>54719881</v>
      </c>
      <c r="D5" s="99">
        <f>SUMIFS('Safeguard facility data'!BD3:BD312,'Safeguard facility data'!Q3:Q312,A1,'Safeguard facility data'!BD3:BD312,"&gt;0")</f>
        <v>54719881</v>
      </c>
      <c r="E5" s="99">
        <f>SUMIFS('Safeguard facility data'!BE3:BE312,'Safeguard facility data'!Q3:Q312,A1,'Safeguard facility data'!BE3:BE312,"&gt;0")</f>
        <v>55353530</v>
      </c>
      <c r="F5" s="102">
        <f>SUMIFS('Safeguard facility data'!BF3:BF312,'Safeguard facility data'!Q3:Q312,A1,'Safeguard facility data'!BF3:BF312,"&gt;0")</f>
        <v>52150723</v>
      </c>
      <c r="G5" s="102"/>
    </row>
    <row r="6" spans="1:7" ht="14.5">
      <c r="A6" s="98" t="s">
        <v>2070</v>
      </c>
      <c r="B6" s="99">
        <f>SUMIFS('Safeguard facility data'!BI3:BI312,'Safeguard facility data'!Q3:Q312,A1,'Safeguard facility data'!BI3:BI312,"&gt;0")</f>
        <v>33926949</v>
      </c>
      <c r="C6" s="102">
        <f>SUMIFS('Safeguard facility data'!BJ3:BJ312,'Safeguard facility data'!Q3:Q312,A1,'Safeguard facility data'!BJ3:BJ312,"&gt;0")</f>
        <v>38218720</v>
      </c>
      <c r="D6" s="99">
        <f>SUMIFS('Safeguard facility data'!BK3:BK312,'Safeguard facility data'!Q3:Q312,A1,'Safeguard facility data'!BK3:BK312,"&gt;0")</f>
        <v>46082666</v>
      </c>
      <c r="E6" s="99">
        <f>SUMIFS('Safeguard facility data'!BL3:BL312,'Safeguard facility data'!Q3:Q312,A1,'Safeguard facility data'!BL3:BL312,"&gt;0")</f>
        <v>43214924</v>
      </c>
      <c r="F6" s="99">
        <f>SUMIFS('Safeguard facility data'!BM3:BM312,'Safeguard facility data'!Q3:Q312,A1,'Safeguard facility data'!BM3:BM312,"&gt;0")</f>
        <v>40732250</v>
      </c>
      <c r="G6" s="99"/>
    </row>
    <row r="7" spans="1:7" ht="14.5">
      <c r="A7" s="98" t="s">
        <v>2071</v>
      </c>
      <c r="B7" s="99">
        <f t="shared" ref="B7:F8" si="0">B5/B9</f>
        <v>1017678.1</v>
      </c>
      <c r="C7" s="99">
        <f t="shared" si="0"/>
        <v>1243633.6590909092</v>
      </c>
      <c r="D7" s="99">
        <f t="shared" si="0"/>
        <v>1243633.6590909092</v>
      </c>
      <c r="E7" s="99">
        <f t="shared" si="0"/>
        <v>1258034.7727272727</v>
      </c>
      <c r="F7" s="99">
        <f t="shared" si="0"/>
        <v>1241683.8809523811</v>
      </c>
      <c r="G7" s="99"/>
    </row>
    <row r="8" spans="1:7" ht="14.5">
      <c r="A8" s="98" t="s">
        <v>2072</v>
      </c>
      <c r="B8" s="99">
        <f t="shared" si="0"/>
        <v>1211676.75</v>
      </c>
      <c r="C8" s="99">
        <f t="shared" si="0"/>
        <v>1232861.935483871</v>
      </c>
      <c r="D8" s="99">
        <f t="shared" si="0"/>
        <v>1589057.448275862</v>
      </c>
      <c r="E8" s="99">
        <f t="shared" si="0"/>
        <v>1543390.142857143</v>
      </c>
      <c r="F8" s="99">
        <f t="shared" si="0"/>
        <v>1566625</v>
      </c>
      <c r="G8" s="99"/>
    </row>
    <row r="9" spans="1:7" ht="14.5">
      <c r="A9" s="98" t="s">
        <v>945</v>
      </c>
      <c r="B9" s="102">
        <f>COUNTIFS('Safeguard facility data'!Q3:Q312,A1,'Safeguard facility data'!BB3:BB312,"&gt;0")</f>
        <v>40</v>
      </c>
      <c r="C9" s="102">
        <f>COUNTIFS('Safeguard facility data'!Q3:Q312,A1,'Safeguard facility data'!BC3:BC312,"&gt;0")</f>
        <v>44</v>
      </c>
      <c r="D9" s="102">
        <f>COUNTIFS('Safeguard facility data'!Q3:Q312,A1,'Safeguard facility data'!BD3:BD312,"&gt;0")</f>
        <v>44</v>
      </c>
      <c r="E9" s="99">
        <f>COUNTIFS('Safeguard facility data'!Q3:Q312,A1,'Safeguard facility data'!BE3:BE312,"&gt;0")</f>
        <v>44</v>
      </c>
      <c r="F9" s="102">
        <f>COUNTIFS('Safeguard facility data'!Q3:Q312,A1,'Safeguard facility data'!BF3:BF312,"&gt;0")</f>
        <v>42</v>
      </c>
      <c r="G9" s="102"/>
    </row>
    <row r="10" spans="1:7" ht="14.5">
      <c r="A10" s="98" t="s">
        <v>946</v>
      </c>
      <c r="B10" s="99">
        <f>COUNTIFS('Safeguard facility data'!Q3:Q312,A1,'Safeguard facility data'!BI3:BI312,"&gt;0")</f>
        <v>28</v>
      </c>
      <c r="C10" s="102">
        <f>COUNTIFS('Safeguard facility data'!Q3:Q312,A1,'Safeguard facility data'!BJ3:BJ312,"&gt;0")</f>
        <v>31</v>
      </c>
      <c r="D10" s="99">
        <f>COUNTIFS('Safeguard facility data'!Q3:Q312,A1,'Safeguard facility data'!BK3:BK312,"&gt;0")</f>
        <v>29</v>
      </c>
      <c r="E10" s="99">
        <f>COUNTIFS('Safeguard facility data'!Q3:Q312,A1,'Safeguard facility data'!BL3:BL312,"&gt;0")</f>
        <v>28</v>
      </c>
      <c r="F10" s="99">
        <f>COUNTIFS('Safeguard facility data'!Q3:Q312,A1,'Safeguard facility data'!BM3:BM312,"&gt;0")</f>
        <v>26</v>
      </c>
      <c r="G10" s="99"/>
    </row>
    <row r="11" spans="1:7" ht="14.5">
      <c r="A11" s="97"/>
      <c r="B11" s="97"/>
      <c r="C11" s="97"/>
      <c r="D11" s="97"/>
      <c r="E11" s="97"/>
      <c r="F11" s="97"/>
      <c r="G11" s="97"/>
    </row>
    <row r="12" spans="1:7" ht="19.5" customHeight="1">
      <c r="A12" s="111" t="s">
        <v>929</v>
      </c>
      <c r="B12" s="245">
        <f>SUM(B6:G6)</f>
        <v>202175509</v>
      </c>
      <c r="C12" s="237"/>
      <c r="D12" s="104" t="s">
        <v>930</v>
      </c>
      <c r="E12" s="246" t="s">
        <v>931</v>
      </c>
      <c r="F12" s="105">
        <f t="shared" ref="F12:F13" si="1">B12/4.6</f>
        <v>43951197.608695656</v>
      </c>
      <c r="G12" s="246" t="s">
        <v>932</v>
      </c>
    </row>
    <row r="13" spans="1:7" ht="34.5" customHeight="1">
      <c r="A13" s="98" t="s">
        <v>947</v>
      </c>
      <c r="B13" s="251">
        <f>B12/5</f>
        <v>40435101.799999997</v>
      </c>
      <c r="C13" s="237"/>
      <c r="D13" s="104" t="s">
        <v>930</v>
      </c>
      <c r="E13" s="223"/>
      <c r="F13" s="105">
        <f t="shared" si="1"/>
        <v>8790239.5217391308</v>
      </c>
      <c r="G13" s="223"/>
    </row>
    <row r="14" spans="1:7" ht="14.5">
      <c r="A14" s="108"/>
      <c r="B14" s="109"/>
      <c r="C14" s="109"/>
      <c r="D14" s="97"/>
      <c r="E14" s="97"/>
      <c r="F14" s="97"/>
      <c r="G14" s="97"/>
    </row>
    <row r="15" spans="1:7" ht="14.5">
      <c r="A15" s="108"/>
      <c r="B15" s="109"/>
      <c r="C15" s="109"/>
      <c r="D15" s="97"/>
      <c r="E15" s="97"/>
      <c r="F15" s="97"/>
      <c r="G15" s="97"/>
    </row>
    <row r="16" spans="1:7" ht="14.5">
      <c r="A16" s="108"/>
      <c r="B16" s="109"/>
      <c r="C16" s="109"/>
      <c r="D16" s="97"/>
      <c r="E16" s="97"/>
      <c r="F16" s="97"/>
      <c r="G16" s="97"/>
    </row>
    <row r="17" spans="1:7" ht="14.5">
      <c r="A17" s="108"/>
      <c r="B17" s="109"/>
      <c r="C17" s="109"/>
      <c r="D17" s="97"/>
      <c r="E17" s="97"/>
      <c r="F17" s="97"/>
      <c r="G17" s="97"/>
    </row>
    <row r="18" spans="1:7" ht="14.5">
      <c r="A18" s="108"/>
      <c r="B18" s="109"/>
      <c r="C18" s="109"/>
      <c r="D18" s="97"/>
      <c r="E18" s="97"/>
      <c r="F18" s="97"/>
      <c r="G18" s="97"/>
    </row>
    <row r="19" spans="1:7" ht="14.5">
      <c r="A19" s="108"/>
      <c r="B19" s="109"/>
      <c r="C19" s="109"/>
      <c r="D19" s="97"/>
      <c r="E19" s="97"/>
      <c r="F19" s="97"/>
      <c r="G19" s="97"/>
    </row>
    <row r="20" spans="1:7" ht="14.5">
      <c r="A20" s="108"/>
      <c r="B20" s="109"/>
      <c r="C20" s="109"/>
      <c r="D20" s="97"/>
      <c r="E20" s="97"/>
      <c r="F20" s="97"/>
      <c r="G20" s="97"/>
    </row>
    <row r="21" spans="1:7" ht="14.5">
      <c r="A21" s="108"/>
      <c r="B21" s="109"/>
      <c r="C21" s="109"/>
      <c r="D21" s="97"/>
      <c r="E21" s="97"/>
      <c r="F21" s="97"/>
      <c r="G21" s="97"/>
    </row>
    <row r="22" spans="1:7" ht="14.5">
      <c r="A22" s="108"/>
      <c r="B22" s="109"/>
      <c r="C22" s="109"/>
      <c r="D22" s="97"/>
      <c r="E22" s="97"/>
      <c r="F22" s="97"/>
      <c r="G22" s="97"/>
    </row>
    <row r="23" spans="1:7" ht="14.5">
      <c r="A23" s="108"/>
      <c r="B23" s="109"/>
      <c r="C23" s="109"/>
      <c r="D23" s="97"/>
      <c r="E23" s="97"/>
      <c r="F23" s="97"/>
      <c r="G23" s="97"/>
    </row>
    <row r="24" spans="1:7" ht="14.5">
      <c r="A24" s="108"/>
      <c r="B24" s="109"/>
      <c r="C24" s="109"/>
      <c r="D24" s="97"/>
      <c r="E24" s="97"/>
      <c r="F24" s="97"/>
      <c r="G24" s="97"/>
    </row>
    <row r="25" spans="1:7" ht="14.5">
      <c r="A25" s="108"/>
      <c r="B25" s="109"/>
      <c r="C25" s="109"/>
      <c r="D25" s="97"/>
      <c r="E25" s="97"/>
      <c r="F25" s="97"/>
      <c r="G25" s="97"/>
    </row>
    <row r="26" spans="1:7" ht="14.5">
      <c r="A26" s="108"/>
      <c r="B26" s="109"/>
      <c r="C26" s="109"/>
      <c r="D26" s="97"/>
      <c r="E26" s="97"/>
      <c r="F26" s="97"/>
      <c r="G26" s="97"/>
    </row>
    <row r="27" spans="1:7" ht="14.5">
      <c r="A27" s="108"/>
      <c r="B27" s="109"/>
      <c r="C27" s="109"/>
      <c r="D27" s="97"/>
      <c r="E27" s="97"/>
      <c r="F27" s="97"/>
      <c r="G27" s="97"/>
    </row>
    <row r="28" spans="1:7" ht="14.5">
      <c r="A28" s="108"/>
      <c r="B28" s="109"/>
      <c r="C28" s="109"/>
      <c r="D28" s="97"/>
      <c r="E28" s="97"/>
      <c r="F28" s="97"/>
      <c r="G28" s="97"/>
    </row>
    <row r="29" spans="1:7" ht="14.5">
      <c r="A29" s="108"/>
      <c r="B29" s="109"/>
      <c r="C29" s="109"/>
      <c r="D29" s="97"/>
      <c r="E29" s="97"/>
      <c r="F29" s="97"/>
      <c r="G29" s="97"/>
    </row>
    <row r="30" spans="1:7" ht="14.5">
      <c r="A30" s="108"/>
      <c r="B30" s="109"/>
      <c r="C30" s="109"/>
      <c r="D30" s="97"/>
      <c r="E30" s="97"/>
      <c r="F30" s="97"/>
      <c r="G30" s="97"/>
    </row>
    <row r="31" spans="1:7" ht="14.5">
      <c r="A31" s="108"/>
      <c r="B31" s="109"/>
      <c r="C31" s="109"/>
      <c r="D31" s="97"/>
      <c r="E31" s="97"/>
      <c r="F31" s="97"/>
      <c r="G31" s="97"/>
    </row>
    <row r="32" spans="1:7" ht="14.5">
      <c r="A32" s="108"/>
      <c r="B32" s="109"/>
      <c r="C32" s="109"/>
      <c r="D32" s="97"/>
      <c r="E32" s="97"/>
      <c r="F32" s="97"/>
      <c r="G32" s="97"/>
    </row>
    <row r="33" spans="1:7" ht="14.5">
      <c r="A33" s="108"/>
      <c r="B33" s="109"/>
      <c r="C33" s="109"/>
      <c r="D33" s="97"/>
      <c r="E33" s="97"/>
      <c r="F33" s="97"/>
      <c r="G33" s="97"/>
    </row>
    <row r="34" spans="1:7" ht="14.5">
      <c r="A34" s="108"/>
      <c r="B34" s="109"/>
      <c r="C34" s="109"/>
      <c r="D34" s="97"/>
      <c r="E34" s="97"/>
      <c r="F34" s="97"/>
      <c r="G34" s="97"/>
    </row>
    <row r="35" spans="1:7" ht="14.5">
      <c r="A35" s="108"/>
      <c r="B35" s="109"/>
      <c r="C35" s="109"/>
      <c r="D35" s="97"/>
      <c r="E35" s="97"/>
      <c r="F35" s="97"/>
      <c r="G35" s="97"/>
    </row>
    <row r="36" spans="1:7" ht="14.5">
      <c r="A36" s="108"/>
      <c r="B36" s="109"/>
      <c r="C36" s="109"/>
      <c r="D36" s="97"/>
      <c r="E36" s="97"/>
      <c r="F36" s="97"/>
      <c r="G36" s="97"/>
    </row>
    <row r="37" spans="1:7" ht="14.5">
      <c r="A37" s="108"/>
      <c r="B37" s="109"/>
      <c r="C37" s="109"/>
      <c r="D37" s="97"/>
      <c r="E37" s="97"/>
      <c r="F37" s="97"/>
      <c r="G37" s="97"/>
    </row>
    <row r="38" spans="1:7" ht="14.5">
      <c r="A38" s="108"/>
      <c r="B38" s="109"/>
      <c r="C38" s="109"/>
      <c r="D38" s="97"/>
      <c r="E38" s="97"/>
      <c r="F38" s="97"/>
      <c r="G38" s="97"/>
    </row>
    <row r="39" spans="1:7" ht="14.5">
      <c r="A39" s="108"/>
      <c r="B39" s="109"/>
      <c r="C39" s="109"/>
      <c r="D39" s="97"/>
      <c r="E39" s="97"/>
      <c r="F39" s="97"/>
      <c r="G39" s="97"/>
    </row>
    <row r="40" spans="1:7" ht="14.5">
      <c r="A40" s="108"/>
      <c r="B40" s="109"/>
      <c r="C40" s="109"/>
      <c r="D40" s="97"/>
      <c r="E40" s="97"/>
      <c r="F40" s="97"/>
      <c r="G40" s="97"/>
    </row>
    <row r="41" spans="1:7" ht="14.5">
      <c r="A41" s="108"/>
      <c r="B41" s="109"/>
      <c r="C41" s="109"/>
      <c r="D41" s="97"/>
      <c r="E41" s="97"/>
      <c r="F41" s="97"/>
      <c r="G41" s="97"/>
    </row>
    <row r="42" spans="1:7" ht="14.5">
      <c r="A42" s="108"/>
      <c r="B42" s="109"/>
      <c r="C42" s="109"/>
      <c r="D42" s="97"/>
      <c r="E42" s="97"/>
      <c r="F42" s="97"/>
      <c r="G42" s="97"/>
    </row>
    <row r="43" spans="1:7" ht="14.5">
      <c r="A43" s="108"/>
      <c r="B43" s="109"/>
      <c r="C43" s="109"/>
      <c r="D43" s="97"/>
      <c r="E43" s="97"/>
      <c r="F43" s="97"/>
      <c r="G43" s="97"/>
    </row>
    <row r="44" spans="1:7" ht="15" customHeight="1">
      <c r="A44" s="214"/>
      <c r="B44" s="214"/>
      <c r="C44" s="214"/>
      <c r="D44" s="214"/>
      <c r="E44" s="214"/>
      <c r="F44" s="214"/>
      <c r="G44" s="214"/>
    </row>
    <row r="45" spans="1:7" ht="15" customHeight="1">
      <c r="A45" s="214"/>
      <c r="B45" s="214"/>
      <c r="C45" s="214"/>
      <c r="D45" s="214"/>
      <c r="E45" s="214"/>
      <c r="F45" s="214"/>
      <c r="G45" s="214"/>
    </row>
    <row r="46" spans="1:7" ht="15" customHeight="1">
      <c r="A46" s="214"/>
      <c r="B46" s="214"/>
      <c r="C46" s="214"/>
      <c r="D46" s="214"/>
      <c r="E46" s="214"/>
      <c r="F46" s="214"/>
      <c r="G46" s="214"/>
    </row>
  </sheetData>
  <mergeCells count="6">
    <mergeCell ref="B1:G1"/>
    <mergeCell ref="A3:G3"/>
    <mergeCell ref="B12:C12"/>
    <mergeCell ref="E12:E13"/>
    <mergeCell ref="G12:G13"/>
    <mergeCell ref="B13:C13"/>
  </mergeCells>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099F5D15-0A47-4D68-9A5E-774795FB1F91}">
          <x14:formula1>
            <xm:f>dropdowns!$A$1:$A$182</xm:f>
          </x14:formula1>
          <xm:sqref>A1</xm:sqref>
        </x14:dataValidation>
      </x14:dataValidations>
    </ext>
  </extLs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outlinePr summaryBelow="0" summaryRight="0"/>
  </sheetPr>
  <dimension ref="A1:CE312"/>
  <sheetViews>
    <sheetView workbookViewId="0">
      <pane xSplit="2" ySplit="3" topLeftCell="BI133" activePane="bottomRight" state="frozen"/>
      <selection pane="topRight" activeCell="C1" sqref="C1"/>
      <selection pane="bottomLeft" activeCell="A4" sqref="A4"/>
      <selection pane="bottomRight" activeCell="BN159" sqref="BN159"/>
    </sheetView>
  </sheetViews>
  <sheetFormatPr defaultColWidth="14.453125" defaultRowHeight="15" customHeight="1"/>
  <cols>
    <col min="1" max="1" width="34" style="125" customWidth="1"/>
    <col min="2" max="2" width="30.453125" style="125" customWidth="1"/>
    <col min="3" max="3" width="50" style="125" customWidth="1"/>
    <col min="4" max="4" width="53.26953125" style="125" customWidth="1"/>
    <col min="5" max="6" width="17.08984375" style="125" customWidth="1"/>
    <col min="7" max="8" width="14.453125" style="125"/>
    <col min="9" max="9" width="15.26953125" style="125" customWidth="1"/>
    <col min="10" max="10" width="14.453125" style="125"/>
    <col min="11" max="15" width="15.08984375" style="125" customWidth="1"/>
    <col min="16" max="16" width="25.26953125" style="125" customWidth="1"/>
    <col min="17" max="19" width="22" style="125" customWidth="1"/>
    <col min="20" max="20" width="17.453125" style="125" customWidth="1"/>
    <col min="21" max="30" width="22" style="125" customWidth="1"/>
    <col min="31" max="31" width="23.453125" style="125" customWidth="1"/>
    <col min="32" max="33" width="22" style="125" customWidth="1"/>
    <col min="34" max="34" width="11.7265625" style="125" customWidth="1"/>
    <col min="35" max="36" width="13.453125" style="125" customWidth="1"/>
    <col min="37" max="37" width="14.81640625" style="125" customWidth="1"/>
    <col min="38" max="38" width="24" style="125" customWidth="1"/>
    <col min="39" max="39" width="16" style="125" customWidth="1"/>
    <col min="40" max="40" width="16.26953125" style="125" customWidth="1"/>
    <col min="41" max="41" width="18" style="125" customWidth="1"/>
    <col min="42" max="42" width="14.453125" style="125"/>
    <col min="43" max="43" width="18.7265625" style="125" customWidth="1"/>
    <col min="44" max="45" width="16.7265625" style="125" customWidth="1"/>
    <col min="46" max="46" width="18.81640625" style="125" customWidth="1"/>
    <col min="47" max="52" width="14.453125" style="125"/>
    <col min="53" max="53" width="15" style="125" customWidth="1"/>
    <col min="54" max="58" width="14.453125" style="125"/>
    <col min="59" max="59" width="15.54296875" style="125" customWidth="1"/>
    <col min="60" max="16384" width="14.453125" style="125"/>
  </cols>
  <sheetData>
    <row r="1" spans="1:83" ht="24" customHeight="1">
      <c r="A1" s="126" t="s">
        <v>288</v>
      </c>
      <c r="B1" s="126">
        <v>2</v>
      </c>
      <c r="C1" s="126">
        <v>3</v>
      </c>
      <c r="D1" s="126">
        <v>4</v>
      </c>
      <c r="E1" s="127">
        <v>5</v>
      </c>
      <c r="F1" s="126">
        <v>6</v>
      </c>
      <c r="G1" s="126">
        <v>7</v>
      </c>
      <c r="H1" s="127">
        <v>8</v>
      </c>
      <c r="I1" s="126">
        <v>9</v>
      </c>
      <c r="J1" s="126">
        <v>10</v>
      </c>
      <c r="K1" s="127">
        <v>11</v>
      </c>
      <c r="L1" s="126">
        <v>12</v>
      </c>
      <c r="M1" s="126">
        <v>13</v>
      </c>
      <c r="N1" s="127">
        <v>14</v>
      </c>
      <c r="O1" s="126">
        <v>15</v>
      </c>
      <c r="P1" s="126">
        <v>16</v>
      </c>
      <c r="Q1" s="127">
        <v>17</v>
      </c>
      <c r="R1" s="126">
        <v>18</v>
      </c>
      <c r="S1" s="126">
        <v>19</v>
      </c>
      <c r="T1" s="127">
        <v>20</v>
      </c>
      <c r="U1" s="126">
        <v>21</v>
      </c>
      <c r="V1" s="126">
        <v>22</v>
      </c>
      <c r="W1" s="127">
        <v>23</v>
      </c>
      <c r="X1" s="126">
        <v>24</v>
      </c>
      <c r="Y1" s="126">
        <v>25</v>
      </c>
      <c r="Z1" s="127">
        <v>26</v>
      </c>
      <c r="AA1" s="126">
        <v>27</v>
      </c>
      <c r="AB1" s="126">
        <v>28</v>
      </c>
      <c r="AC1" s="127">
        <v>29</v>
      </c>
      <c r="AD1" s="126">
        <v>30</v>
      </c>
      <c r="AE1" s="126">
        <v>31</v>
      </c>
      <c r="AF1" s="127">
        <v>32</v>
      </c>
      <c r="AG1" s="126">
        <v>33</v>
      </c>
      <c r="AH1" s="126">
        <v>34</v>
      </c>
      <c r="AI1" s="127">
        <v>35</v>
      </c>
      <c r="AJ1" s="126">
        <v>36</v>
      </c>
      <c r="AK1" s="126">
        <v>37</v>
      </c>
      <c r="AL1" s="127">
        <v>38</v>
      </c>
      <c r="AM1" s="126">
        <v>39</v>
      </c>
      <c r="AN1" s="126">
        <v>40</v>
      </c>
      <c r="AO1" s="127">
        <v>41</v>
      </c>
      <c r="AP1" s="126">
        <v>42</v>
      </c>
      <c r="AQ1" s="126">
        <v>43</v>
      </c>
      <c r="AR1" s="127">
        <v>44</v>
      </c>
      <c r="AS1" s="126">
        <v>45</v>
      </c>
      <c r="AT1" s="126">
        <v>46</v>
      </c>
      <c r="AU1" s="127">
        <v>47</v>
      </c>
      <c r="AV1" s="126">
        <v>48</v>
      </c>
      <c r="AW1" s="126">
        <v>49</v>
      </c>
      <c r="AX1" s="127">
        <v>50</v>
      </c>
      <c r="AY1" s="126">
        <v>51</v>
      </c>
      <c r="AZ1" s="126">
        <v>52</v>
      </c>
      <c r="BA1" s="127">
        <v>53</v>
      </c>
      <c r="BB1" s="126">
        <v>54</v>
      </c>
      <c r="BC1" s="126">
        <v>55</v>
      </c>
      <c r="BD1" s="127">
        <v>56</v>
      </c>
      <c r="BE1" s="126">
        <v>57</v>
      </c>
      <c r="BF1" s="126">
        <v>58</v>
      </c>
      <c r="BG1" s="127">
        <v>59</v>
      </c>
      <c r="BH1" s="126">
        <v>60</v>
      </c>
      <c r="BI1" s="126">
        <v>61</v>
      </c>
      <c r="BJ1" s="127">
        <v>62</v>
      </c>
      <c r="BK1" s="126">
        <v>63</v>
      </c>
      <c r="BL1" s="126">
        <v>64</v>
      </c>
      <c r="BM1" s="127">
        <v>65</v>
      </c>
      <c r="BN1" s="126">
        <v>66</v>
      </c>
      <c r="BO1" s="126">
        <v>67</v>
      </c>
      <c r="BP1" s="127">
        <v>68</v>
      </c>
      <c r="BQ1" s="126">
        <v>69</v>
      </c>
      <c r="BR1" s="126">
        <v>70</v>
      </c>
      <c r="BS1" s="127">
        <v>71</v>
      </c>
      <c r="BT1" s="126">
        <v>72</v>
      </c>
      <c r="BU1" s="126">
        <v>73</v>
      </c>
      <c r="BV1" s="127">
        <v>74</v>
      </c>
      <c r="BW1" s="126">
        <v>75</v>
      </c>
      <c r="BX1" s="126">
        <v>76</v>
      </c>
      <c r="BY1" s="127">
        <v>77</v>
      </c>
      <c r="BZ1" s="126">
        <v>78</v>
      </c>
      <c r="CA1" s="126">
        <v>79</v>
      </c>
      <c r="CB1" s="127">
        <v>80</v>
      </c>
      <c r="CC1" s="126">
        <v>81</v>
      </c>
      <c r="CD1" s="126">
        <v>82</v>
      </c>
      <c r="CE1" s="127"/>
    </row>
    <row r="2" spans="1:83" ht="36.75" customHeight="1" thickTop="1" thickBot="1">
      <c r="A2" s="256" t="s">
        <v>289</v>
      </c>
      <c r="B2" s="254"/>
      <c r="C2" s="128" t="s">
        <v>948</v>
      </c>
      <c r="D2" s="128" t="s">
        <v>949</v>
      </c>
      <c r="E2" s="257" t="s">
        <v>950</v>
      </c>
      <c r="F2" s="253"/>
      <c r="G2" s="253"/>
      <c r="H2" s="253"/>
      <c r="I2" s="253"/>
      <c r="J2" s="253"/>
      <c r="K2" s="253"/>
      <c r="L2" s="253"/>
      <c r="M2" s="253"/>
      <c r="N2" s="253"/>
      <c r="O2" s="253"/>
      <c r="P2" s="253"/>
      <c r="Q2" s="253"/>
      <c r="R2" s="254"/>
      <c r="S2" s="258" t="s">
        <v>951</v>
      </c>
      <c r="T2" s="253"/>
      <c r="U2" s="253"/>
      <c r="V2" s="253"/>
      <c r="W2" s="253"/>
      <c r="X2" s="253"/>
      <c r="Y2" s="253"/>
      <c r="Z2" s="253"/>
      <c r="AA2" s="253"/>
      <c r="AB2" s="253"/>
      <c r="AC2" s="253"/>
      <c r="AD2" s="253"/>
      <c r="AE2" s="253"/>
      <c r="AF2" s="253"/>
      <c r="AG2" s="254"/>
      <c r="AH2" s="258" t="s">
        <v>952</v>
      </c>
      <c r="AI2" s="253"/>
      <c r="AJ2" s="253"/>
      <c r="AK2" s="253"/>
      <c r="AL2" s="253"/>
      <c r="AM2" s="253"/>
      <c r="AN2" s="253"/>
      <c r="AO2" s="254"/>
      <c r="AP2" s="252" t="s">
        <v>953</v>
      </c>
      <c r="AQ2" s="253"/>
      <c r="AR2" s="253"/>
      <c r="AS2" s="253"/>
      <c r="AT2" s="253"/>
      <c r="AU2" s="254"/>
      <c r="AV2" s="252" t="s">
        <v>954</v>
      </c>
      <c r="AW2" s="253"/>
      <c r="AX2" s="253"/>
      <c r="AY2" s="253"/>
      <c r="AZ2" s="253"/>
      <c r="BA2" s="254"/>
      <c r="BB2" s="252" t="s">
        <v>955</v>
      </c>
      <c r="BC2" s="253"/>
      <c r="BD2" s="253"/>
      <c r="BE2" s="253"/>
      <c r="BF2" s="253"/>
      <c r="BG2" s="253"/>
      <c r="BH2" s="254"/>
      <c r="BI2" s="252" t="s">
        <v>956</v>
      </c>
      <c r="BJ2" s="253"/>
      <c r="BK2" s="253"/>
      <c r="BL2" s="253"/>
      <c r="BM2" s="253"/>
      <c r="BN2" s="254"/>
      <c r="BO2" s="252" t="s">
        <v>957</v>
      </c>
      <c r="BP2" s="253"/>
      <c r="BQ2" s="253"/>
      <c r="BR2" s="254"/>
      <c r="BS2" s="252" t="s">
        <v>958</v>
      </c>
      <c r="BT2" s="253"/>
      <c r="BU2" s="253"/>
      <c r="BV2" s="253"/>
      <c r="BW2" s="253"/>
      <c r="BX2" s="254"/>
      <c r="BY2" s="255" t="s">
        <v>959</v>
      </c>
      <c r="BZ2" s="253"/>
      <c r="CA2" s="253"/>
      <c r="CB2" s="253"/>
      <c r="CC2" s="253"/>
      <c r="CD2" s="254"/>
    </row>
    <row r="3" spans="1:83" ht="31" customHeight="1" thickTop="1">
      <c r="A3" s="129" t="s">
        <v>290</v>
      </c>
      <c r="B3" s="129" t="s">
        <v>960</v>
      </c>
      <c r="C3" s="130" t="s">
        <v>939</v>
      </c>
      <c r="D3" s="130" t="s">
        <v>940</v>
      </c>
      <c r="E3" s="131" t="s">
        <v>938</v>
      </c>
      <c r="F3" s="129" t="s">
        <v>961</v>
      </c>
      <c r="G3" s="129" t="s">
        <v>933</v>
      </c>
      <c r="H3" s="129" t="s">
        <v>934</v>
      </c>
      <c r="I3" s="129" t="s">
        <v>935</v>
      </c>
      <c r="J3" s="129" t="s">
        <v>936</v>
      </c>
      <c r="K3" s="129" t="s">
        <v>937</v>
      </c>
      <c r="L3" s="129" t="s">
        <v>962</v>
      </c>
      <c r="M3" s="174" t="s">
        <v>2074</v>
      </c>
      <c r="N3" s="129" t="s">
        <v>963</v>
      </c>
      <c r="O3" s="129" t="s">
        <v>11</v>
      </c>
      <c r="P3" s="129" t="s">
        <v>964</v>
      </c>
      <c r="Q3" s="129" t="s">
        <v>919</v>
      </c>
      <c r="R3" s="129" t="s">
        <v>965</v>
      </c>
      <c r="S3" s="132" t="s">
        <v>966</v>
      </c>
      <c r="T3" s="133" t="s">
        <v>967</v>
      </c>
      <c r="U3" s="133" t="s">
        <v>968</v>
      </c>
      <c r="V3" s="133" t="s">
        <v>969</v>
      </c>
      <c r="W3" s="133" t="s">
        <v>970</v>
      </c>
      <c r="X3" s="133" t="s">
        <v>971</v>
      </c>
      <c r="Y3" s="133" t="s">
        <v>972</v>
      </c>
      <c r="Z3" s="133" t="s">
        <v>973</v>
      </c>
      <c r="AA3" s="133" t="s">
        <v>974</v>
      </c>
      <c r="AB3" s="134" t="s">
        <v>975</v>
      </c>
      <c r="AC3" s="134" t="s">
        <v>976</v>
      </c>
      <c r="AD3" s="134" t="s">
        <v>977</v>
      </c>
      <c r="AE3" s="134" t="s">
        <v>978</v>
      </c>
      <c r="AF3" s="133" t="s">
        <v>979</v>
      </c>
      <c r="AG3" s="135" t="s">
        <v>852</v>
      </c>
      <c r="AH3" s="172" t="s">
        <v>2073</v>
      </c>
      <c r="AI3" s="129" t="s">
        <v>980</v>
      </c>
      <c r="AJ3" s="129" t="s">
        <v>981</v>
      </c>
      <c r="AK3" s="129" t="s">
        <v>602</v>
      </c>
      <c r="AL3" s="129" t="s">
        <v>982</v>
      </c>
      <c r="AM3" s="129" t="s">
        <v>983</v>
      </c>
      <c r="AN3" s="129" t="s">
        <v>984</v>
      </c>
      <c r="AO3" s="129" t="s">
        <v>985</v>
      </c>
      <c r="AP3" s="136" t="s">
        <v>986</v>
      </c>
      <c r="AQ3" s="137" t="s">
        <v>987</v>
      </c>
      <c r="AR3" s="137" t="s">
        <v>988</v>
      </c>
      <c r="AS3" s="137" t="s">
        <v>989</v>
      </c>
      <c r="AT3" s="137" t="s">
        <v>990</v>
      </c>
      <c r="AU3" s="138" t="s">
        <v>991</v>
      </c>
      <c r="AV3" s="137" t="s">
        <v>603</v>
      </c>
      <c r="AW3" s="137" t="s">
        <v>604</v>
      </c>
      <c r="AX3" s="137" t="s">
        <v>605</v>
      </c>
      <c r="AY3" s="137" t="s">
        <v>606</v>
      </c>
      <c r="AZ3" s="137" t="s">
        <v>607</v>
      </c>
      <c r="BA3" s="138" t="s">
        <v>992</v>
      </c>
      <c r="BB3" s="136" t="s">
        <v>603</v>
      </c>
      <c r="BC3" s="137" t="s">
        <v>604</v>
      </c>
      <c r="BD3" s="137" t="s">
        <v>605</v>
      </c>
      <c r="BE3" s="137" t="s">
        <v>606</v>
      </c>
      <c r="BF3" s="137" t="s">
        <v>607</v>
      </c>
      <c r="BG3" s="139" t="s">
        <v>992</v>
      </c>
      <c r="BH3" s="140" t="s">
        <v>993</v>
      </c>
      <c r="BI3" s="141" t="s">
        <v>603</v>
      </c>
      <c r="BJ3" s="137" t="s">
        <v>604</v>
      </c>
      <c r="BK3" s="137" t="s">
        <v>605</v>
      </c>
      <c r="BL3" s="137" t="s">
        <v>606</v>
      </c>
      <c r="BM3" s="137" t="s">
        <v>607</v>
      </c>
      <c r="BN3" s="142" t="s">
        <v>994</v>
      </c>
      <c r="BO3" s="136" t="s">
        <v>603</v>
      </c>
      <c r="BP3" s="137" t="s">
        <v>604</v>
      </c>
      <c r="BQ3" s="137" t="s">
        <v>605</v>
      </c>
      <c r="BR3" s="137" t="s">
        <v>606</v>
      </c>
      <c r="BS3" s="136" t="s">
        <v>603</v>
      </c>
      <c r="BT3" s="137" t="s">
        <v>604</v>
      </c>
      <c r="BU3" s="137" t="s">
        <v>605</v>
      </c>
      <c r="BV3" s="137" t="s">
        <v>606</v>
      </c>
      <c r="BW3" s="137" t="s">
        <v>607</v>
      </c>
      <c r="BX3" s="138" t="s">
        <v>995</v>
      </c>
      <c r="BY3" s="137" t="s">
        <v>603</v>
      </c>
      <c r="BZ3" s="137" t="s">
        <v>604</v>
      </c>
      <c r="CA3" s="137" t="s">
        <v>605</v>
      </c>
      <c r="CB3" s="137" t="s">
        <v>606</v>
      </c>
      <c r="CC3" s="137" t="s">
        <v>607</v>
      </c>
      <c r="CD3" s="138" t="s">
        <v>996</v>
      </c>
    </row>
    <row r="4" spans="1:83" ht="14.5">
      <c r="A4" s="143" t="s">
        <v>336</v>
      </c>
      <c r="B4" s="143"/>
      <c r="C4" s="144"/>
      <c r="D4" s="144" t="s">
        <v>1183</v>
      </c>
      <c r="E4" s="145" t="s">
        <v>642</v>
      </c>
      <c r="F4" s="143" t="str">
        <f>SUBSTITUTE(E4," ","")</f>
        <v>27145455205</v>
      </c>
      <c r="G4" s="143" t="s">
        <v>1184</v>
      </c>
      <c r="H4" s="143" t="s">
        <v>53</v>
      </c>
      <c r="I4" s="143">
        <v>4721</v>
      </c>
      <c r="J4" s="143">
        <v>-21.95</v>
      </c>
      <c r="K4" s="143">
        <v>146.62899999999999</v>
      </c>
      <c r="L4" s="143" t="s">
        <v>292</v>
      </c>
      <c r="M4" s="143" t="s">
        <v>292</v>
      </c>
      <c r="N4" s="143" t="s">
        <v>292</v>
      </c>
      <c r="O4" s="143"/>
      <c r="P4" s="143"/>
      <c r="Q4" s="143" t="s">
        <v>29</v>
      </c>
      <c r="R4" s="143" t="s">
        <v>29</v>
      </c>
      <c r="S4" s="147"/>
      <c r="T4" s="143"/>
      <c r="U4" s="143"/>
      <c r="V4" s="143"/>
      <c r="W4" s="143"/>
      <c r="X4" s="143"/>
      <c r="Y4" s="143"/>
      <c r="Z4" s="143"/>
      <c r="AA4" s="143"/>
      <c r="AB4" s="143"/>
      <c r="AC4" s="143"/>
      <c r="AD4" s="153"/>
      <c r="AE4" s="153"/>
      <c r="AF4" s="143"/>
      <c r="AG4" s="155"/>
      <c r="AH4" s="147" t="s">
        <v>26</v>
      </c>
      <c r="AI4" s="146" t="s">
        <v>36</v>
      </c>
      <c r="AJ4" s="146" t="s">
        <v>1111</v>
      </c>
      <c r="AK4" s="146" t="s">
        <v>44</v>
      </c>
      <c r="AL4" s="146" t="s">
        <v>90</v>
      </c>
      <c r="AM4" s="143"/>
      <c r="AN4" s="143"/>
      <c r="AO4" s="143"/>
      <c r="AP4" s="152"/>
      <c r="AQ4" s="153"/>
      <c r="AR4" s="153"/>
      <c r="AS4" s="153"/>
      <c r="AT4" s="153"/>
      <c r="AU4" s="154"/>
      <c r="AV4" s="153" t="s">
        <v>114</v>
      </c>
      <c r="AW4" s="153" t="s">
        <v>114</v>
      </c>
      <c r="AX4" s="153" t="s">
        <v>114</v>
      </c>
      <c r="AY4" s="153" t="s">
        <v>114</v>
      </c>
      <c r="AZ4" s="153" t="s">
        <v>114</v>
      </c>
      <c r="BA4" s="154" t="s">
        <v>73</v>
      </c>
      <c r="BB4" s="152" t="s">
        <v>114</v>
      </c>
      <c r="BC4" s="153" t="s">
        <v>114</v>
      </c>
      <c r="BD4" s="153" t="s">
        <v>114</v>
      </c>
      <c r="BE4" s="153" t="s">
        <v>114</v>
      </c>
      <c r="BF4" s="153" t="s">
        <v>114</v>
      </c>
      <c r="BG4" s="157"/>
      <c r="BH4" s="155"/>
      <c r="BI4" s="152" t="s">
        <v>920</v>
      </c>
      <c r="BJ4" s="153" t="s">
        <v>920</v>
      </c>
      <c r="BK4" s="153" t="s">
        <v>920</v>
      </c>
      <c r="BL4" s="153" t="s">
        <v>920</v>
      </c>
      <c r="BM4" s="153" t="s">
        <v>920</v>
      </c>
      <c r="BN4" s="154">
        <f>SUMIF(BI4:BM4,"&gt;0",BI4:BM4)</f>
        <v>0</v>
      </c>
      <c r="BO4" s="156"/>
      <c r="BP4" s="148"/>
      <c r="BQ4" s="153"/>
      <c r="BR4" s="153"/>
      <c r="BS4" s="152" t="s">
        <v>1185</v>
      </c>
      <c r="BT4" s="148" t="s">
        <v>1185</v>
      </c>
      <c r="BU4" s="148" t="s">
        <v>1185</v>
      </c>
      <c r="BV4" s="148" t="s">
        <v>1185</v>
      </c>
      <c r="BW4" s="148" t="s">
        <v>1185</v>
      </c>
      <c r="BX4" s="154">
        <f>SUM(BS4:BW4)</f>
        <v>0</v>
      </c>
      <c r="BY4" s="143" t="e">
        <f>BI4/BS4</f>
        <v>#VALUE!</v>
      </c>
      <c r="BZ4" s="143" t="e">
        <f>BJ4/BT4</f>
        <v>#VALUE!</v>
      </c>
      <c r="CA4" s="143" t="e">
        <f>BK4/BU4</f>
        <v>#VALUE!</v>
      </c>
      <c r="CB4" s="143" t="e">
        <f>BL4/BV4</f>
        <v>#VALUE!</v>
      </c>
      <c r="CC4" s="143" t="e">
        <f>BM4/BW4</f>
        <v>#VALUE!</v>
      </c>
      <c r="CD4" s="155" t="e">
        <f>AVERAGE(BY4:CC4)</f>
        <v>#VALUE!</v>
      </c>
    </row>
    <row r="5" spans="1:83" ht="14.5">
      <c r="A5" s="143" t="s">
        <v>351</v>
      </c>
      <c r="B5" s="143" t="s">
        <v>1223</v>
      </c>
      <c r="C5" s="144" t="s">
        <v>1120</v>
      </c>
      <c r="D5" s="144" t="s">
        <v>1024</v>
      </c>
      <c r="E5" s="145" t="s">
        <v>1025</v>
      </c>
      <c r="F5" s="143" t="str">
        <f>SUBSTITUTE(E5," ","")</f>
        <v>15007596018</v>
      </c>
      <c r="G5" s="143" t="s">
        <v>292</v>
      </c>
      <c r="H5" s="143" t="s">
        <v>292</v>
      </c>
      <c r="I5" s="143" t="s">
        <v>292</v>
      </c>
      <c r="J5" s="143" t="s">
        <v>292</v>
      </c>
      <c r="K5" s="143" t="s">
        <v>292</v>
      </c>
      <c r="L5" s="143">
        <v>1955</v>
      </c>
      <c r="M5" s="143">
        <v>67</v>
      </c>
      <c r="N5" s="143">
        <v>0</v>
      </c>
      <c r="O5" s="143"/>
      <c r="P5" s="143"/>
      <c r="Q5" s="143" t="s">
        <v>1027</v>
      </c>
      <c r="R5" s="143" t="s">
        <v>40</v>
      </c>
      <c r="S5" s="147"/>
      <c r="T5" s="143"/>
      <c r="U5" s="143"/>
      <c r="V5" s="143"/>
      <c r="W5" s="143"/>
      <c r="X5" s="143"/>
      <c r="Y5" s="143"/>
      <c r="Z5" s="143"/>
      <c r="AA5" s="143"/>
      <c r="AB5" s="143"/>
      <c r="AC5" s="143"/>
      <c r="AD5" s="153"/>
      <c r="AE5" s="153"/>
      <c r="AF5" s="143"/>
      <c r="AG5" s="155"/>
      <c r="AH5" s="150" t="s">
        <v>37</v>
      </c>
      <c r="AI5" s="151" t="s">
        <v>76</v>
      </c>
      <c r="AJ5" s="151" t="s">
        <v>70</v>
      </c>
      <c r="AK5" s="151" t="s">
        <v>70</v>
      </c>
      <c r="AL5" s="151" t="s">
        <v>118</v>
      </c>
      <c r="AM5" s="151" t="s">
        <v>70</v>
      </c>
      <c r="AN5" s="151" t="s">
        <v>70</v>
      </c>
      <c r="AO5" s="151" t="s">
        <v>70</v>
      </c>
      <c r="AP5" s="152"/>
      <c r="AQ5" s="153"/>
      <c r="AR5" s="153"/>
      <c r="AS5" s="153"/>
      <c r="AT5" s="153"/>
      <c r="AU5" s="154"/>
      <c r="AV5" s="153" t="s">
        <v>1028</v>
      </c>
      <c r="AW5" s="153" t="s">
        <v>106</v>
      </c>
      <c r="AX5" s="153" t="s">
        <v>106</v>
      </c>
      <c r="AY5" s="153" t="s">
        <v>106</v>
      </c>
      <c r="AZ5" s="153" t="s">
        <v>106</v>
      </c>
      <c r="BA5" s="154" t="s">
        <v>114</v>
      </c>
      <c r="BB5" s="152">
        <v>1839661</v>
      </c>
      <c r="BC5" s="153">
        <v>1839661</v>
      </c>
      <c r="BD5" s="153">
        <v>1839661</v>
      </c>
      <c r="BE5" s="157">
        <v>1839661</v>
      </c>
      <c r="BF5" s="157">
        <v>1839526</v>
      </c>
      <c r="BG5" s="157"/>
      <c r="BH5" s="155"/>
      <c r="BI5" s="152">
        <v>1093801</v>
      </c>
      <c r="BJ5" s="153">
        <v>1020189</v>
      </c>
      <c r="BK5" s="153">
        <v>947905</v>
      </c>
      <c r="BL5" s="153">
        <v>979493</v>
      </c>
      <c r="BM5" s="153">
        <v>1044918</v>
      </c>
      <c r="BN5" s="154">
        <f>SUMIF(BI5:BM5,"&gt;0",BI5:BM5)</f>
        <v>5086306</v>
      </c>
      <c r="BO5" s="156"/>
      <c r="BP5" s="148"/>
      <c r="BQ5" s="153"/>
      <c r="BR5" s="153"/>
      <c r="BS5" s="152"/>
      <c r="BT5" s="148"/>
      <c r="BU5" s="148"/>
      <c r="BV5" s="148"/>
      <c r="BW5" s="148"/>
      <c r="BX5" s="154">
        <f>SUM(BS5:BW5)</f>
        <v>0</v>
      </c>
      <c r="BY5" s="143"/>
      <c r="BZ5" s="143"/>
      <c r="CA5" s="143"/>
      <c r="CB5" s="143"/>
      <c r="CC5" s="143"/>
      <c r="CD5" s="155"/>
    </row>
    <row r="6" spans="1:83" ht="14.5">
      <c r="A6" s="143" t="s">
        <v>320</v>
      </c>
      <c r="B6" s="143" t="s">
        <v>1119</v>
      </c>
      <c r="C6" s="144" t="s">
        <v>1120</v>
      </c>
      <c r="D6" s="144" t="s">
        <v>1024</v>
      </c>
      <c r="E6" s="145" t="s">
        <v>1025</v>
      </c>
      <c r="F6" s="143" t="str">
        <f>SUBSTITUTE(E6," ","")</f>
        <v>15007596018</v>
      </c>
      <c r="G6" s="143" t="s">
        <v>1121</v>
      </c>
      <c r="H6" s="143" t="s">
        <v>60</v>
      </c>
      <c r="I6" s="143">
        <v>5015</v>
      </c>
      <c r="J6" s="143">
        <v>-34.832912</v>
      </c>
      <c r="K6" s="143">
        <v>138.50345799999999</v>
      </c>
      <c r="L6" s="143">
        <v>1882</v>
      </c>
      <c r="M6" s="143">
        <v>140</v>
      </c>
      <c r="N6" s="143">
        <v>0</v>
      </c>
      <c r="O6" s="143"/>
      <c r="P6" s="143"/>
      <c r="Q6" s="143" t="s">
        <v>64</v>
      </c>
      <c r="R6" s="143" t="s">
        <v>40</v>
      </c>
      <c r="S6" s="147" t="s">
        <v>612</v>
      </c>
      <c r="T6" s="143">
        <v>1</v>
      </c>
      <c r="U6" s="143" t="s">
        <v>1122</v>
      </c>
      <c r="V6" s="143" t="s">
        <v>1123</v>
      </c>
      <c r="W6" s="143" t="s">
        <v>1124</v>
      </c>
      <c r="X6" s="143" t="s">
        <v>1125</v>
      </c>
      <c r="Y6" s="143" t="s">
        <v>1126</v>
      </c>
      <c r="Z6" s="143" t="s">
        <v>1127</v>
      </c>
      <c r="AA6" s="143" t="s">
        <v>1128</v>
      </c>
      <c r="AB6" s="153">
        <v>54418</v>
      </c>
      <c r="AC6" s="153" t="s">
        <v>1129</v>
      </c>
      <c r="AD6" s="153">
        <v>143484</v>
      </c>
      <c r="AE6" s="153">
        <v>77984</v>
      </c>
      <c r="AF6" s="143" t="s">
        <v>1045</v>
      </c>
      <c r="AG6" s="155" t="s">
        <v>1130</v>
      </c>
      <c r="AH6" s="150" t="s">
        <v>37</v>
      </c>
      <c r="AI6" s="151" t="s">
        <v>76</v>
      </c>
      <c r="AJ6" s="151" t="s">
        <v>70</v>
      </c>
      <c r="AK6" s="151" t="s">
        <v>70</v>
      </c>
      <c r="AL6" s="151" t="s">
        <v>118</v>
      </c>
      <c r="AM6" s="151" t="s">
        <v>70</v>
      </c>
      <c r="AN6" s="151" t="s">
        <v>70</v>
      </c>
      <c r="AO6" s="151" t="s">
        <v>70</v>
      </c>
      <c r="AP6" s="152"/>
      <c r="AQ6" s="153"/>
      <c r="AR6" s="153"/>
      <c r="AS6" s="153"/>
      <c r="AT6" s="153"/>
      <c r="AU6" s="154"/>
      <c r="AV6" s="153" t="s">
        <v>1028</v>
      </c>
      <c r="AW6" s="153" t="s">
        <v>106</v>
      </c>
      <c r="AX6" s="153" t="s">
        <v>106</v>
      </c>
      <c r="AY6" s="153" t="s">
        <v>106</v>
      </c>
      <c r="AZ6" s="153" t="s">
        <v>106</v>
      </c>
      <c r="BA6" s="154" t="s">
        <v>114</v>
      </c>
      <c r="BB6" s="152">
        <v>944301</v>
      </c>
      <c r="BC6" s="153">
        <v>944301</v>
      </c>
      <c r="BD6" s="153">
        <v>944301</v>
      </c>
      <c r="BE6" s="157">
        <v>944301</v>
      </c>
      <c r="BF6" s="157">
        <v>944222</v>
      </c>
      <c r="BG6" s="157"/>
      <c r="BH6" s="155"/>
      <c r="BI6" s="152">
        <v>816162</v>
      </c>
      <c r="BJ6" s="153">
        <v>834230</v>
      </c>
      <c r="BK6" s="153">
        <v>873903</v>
      </c>
      <c r="BL6" s="153">
        <v>852121</v>
      </c>
      <c r="BM6" s="153">
        <v>772545</v>
      </c>
      <c r="BN6" s="154">
        <f>SUMIF(BI6:BM6,"&gt;0",BI6:BM6)</f>
        <v>4148961</v>
      </c>
      <c r="BO6" s="156"/>
      <c r="BP6" s="148"/>
      <c r="BQ6" s="153"/>
      <c r="BR6" s="153"/>
      <c r="BS6" s="152"/>
      <c r="BT6" s="148"/>
      <c r="BU6" s="148"/>
      <c r="BV6" s="148"/>
      <c r="BW6" s="148"/>
      <c r="BX6" s="154">
        <f>SUM(BS6:BW6)</f>
        <v>0</v>
      </c>
      <c r="BY6" s="143"/>
      <c r="BZ6" s="143"/>
      <c r="CA6" s="143"/>
      <c r="CB6" s="143"/>
      <c r="CC6" s="143"/>
      <c r="CD6" s="155"/>
    </row>
    <row r="7" spans="1:83" ht="14.5">
      <c r="A7" s="143" t="s">
        <v>295</v>
      </c>
      <c r="B7" s="143" t="s">
        <v>1022</v>
      </c>
      <c r="C7" s="144" t="s">
        <v>1023</v>
      </c>
      <c r="D7" s="144" t="s">
        <v>1024</v>
      </c>
      <c r="E7" s="145" t="s">
        <v>1025</v>
      </c>
      <c r="F7" s="143" t="str">
        <f>SUBSTITUTE(E7," ","")</f>
        <v>15007596018</v>
      </c>
      <c r="G7" s="143" t="s">
        <v>1026</v>
      </c>
      <c r="H7" s="143" t="s">
        <v>60</v>
      </c>
      <c r="I7" s="143">
        <v>5353</v>
      </c>
      <c r="J7" s="143">
        <v>-34.502222000000003</v>
      </c>
      <c r="K7" s="143">
        <v>139.030833</v>
      </c>
      <c r="L7" s="143" t="s">
        <v>292</v>
      </c>
      <c r="M7" s="143" t="s">
        <v>292</v>
      </c>
      <c r="N7" s="143" t="s">
        <v>292</v>
      </c>
      <c r="O7" s="143"/>
      <c r="P7" s="143"/>
      <c r="Q7" s="143" t="s">
        <v>1027</v>
      </c>
      <c r="R7" s="143" t="s">
        <v>40</v>
      </c>
      <c r="S7" s="147"/>
      <c r="T7" s="143"/>
      <c r="U7" s="143"/>
      <c r="V7" s="143"/>
      <c r="W7" s="143"/>
      <c r="X7" s="143"/>
      <c r="Y7" s="143"/>
      <c r="Z7" s="143"/>
      <c r="AA7" s="143"/>
      <c r="AB7" s="143"/>
      <c r="AC7" s="143"/>
      <c r="AD7" s="153"/>
      <c r="AE7" s="153"/>
      <c r="AF7" s="143"/>
      <c r="AG7" s="155"/>
      <c r="AH7" s="150" t="s">
        <v>37</v>
      </c>
      <c r="AI7" s="151" t="s">
        <v>76</v>
      </c>
      <c r="AJ7" s="151" t="s">
        <v>70</v>
      </c>
      <c r="AK7" s="151" t="s">
        <v>70</v>
      </c>
      <c r="AL7" s="151" t="s">
        <v>118</v>
      </c>
      <c r="AM7" s="151" t="s">
        <v>70</v>
      </c>
      <c r="AN7" s="151" t="s">
        <v>70</v>
      </c>
      <c r="AO7" s="151" t="s">
        <v>70</v>
      </c>
      <c r="AP7" s="152"/>
      <c r="AQ7" s="153"/>
      <c r="AR7" s="153"/>
      <c r="AS7" s="153"/>
      <c r="AT7" s="153"/>
      <c r="AU7" s="154"/>
      <c r="AV7" s="153" t="s">
        <v>1028</v>
      </c>
      <c r="AW7" s="153" t="s">
        <v>106</v>
      </c>
      <c r="AX7" s="153" t="s">
        <v>106</v>
      </c>
      <c r="AY7" s="153" t="s">
        <v>106</v>
      </c>
      <c r="AZ7" s="153" t="s">
        <v>106</v>
      </c>
      <c r="BA7" s="154" t="s">
        <v>114</v>
      </c>
      <c r="BB7" s="152">
        <v>246443</v>
      </c>
      <c r="BC7" s="153">
        <v>246443</v>
      </c>
      <c r="BD7" s="153">
        <v>246443</v>
      </c>
      <c r="BE7" s="157">
        <v>246443</v>
      </c>
      <c r="BF7" s="157">
        <v>246443</v>
      </c>
      <c r="BG7" s="157"/>
      <c r="BH7" s="155"/>
      <c r="BI7" s="152">
        <v>149650</v>
      </c>
      <c r="BJ7" s="153">
        <v>121946</v>
      </c>
      <c r="BK7" s="153">
        <v>128534</v>
      </c>
      <c r="BL7" s="153" t="s">
        <v>920</v>
      </c>
      <c r="BM7" s="153" t="s">
        <v>920</v>
      </c>
      <c r="BN7" s="154">
        <f>SUMIF(BI7:BM7,"&gt;0",BI7:BM7)</f>
        <v>400130</v>
      </c>
      <c r="BO7" s="156"/>
      <c r="BP7" s="148"/>
      <c r="BQ7" s="153"/>
      <c r="BR7" s="153"/>
      <c r="BS7" s="152"/>
      <c r="BT7" s="148"/>
      <c r="BU7" s="148"/>
      <c r="BV7" s="148"/>
      <c r="BW7" s="148"/>
      <c r="BX7" s="154">
        <f>SUM(BS7:BW7)</f>
        <v>0</v>
      </c>
      <c r="BY7" s="143"/>
      <c r="BZ7" s="143"/>
      <c r="CA7" s="143"/>
      <c r="CB7" s="143"/>
      <c r="CC7" s="143"/>
      <c r="CD7" s="155"/>
    </row>
    <row r="8" spans="1:83" ht="14.5">
      <c r="A8" s="143" t="s">
        <v>367</v>
      </c>
      <c r="B8" s="143"/>
      <c r="C8" s="144" t="s">
        <v>1120</v>
      </c>
      <c r="D8" s="144" t="s">
        <v>1024</v>
      </c>
      <c r="E8" s="145" t="s">
        <v>1025</v>
      </c>
      <c r="F8" s="143" t="str">
        <f>SUBSTITUTE(E8," ","")</f>
        <v>15007596018</v>
      </c>
      <c r="G8" s="143" t="s">
        <v>1260</v>
      </c>
      <c r="H8" s="143" t="s">
        <v>81</v>
      </c>
      <c r="I8" s="143">
        <v>6525</v>
      </c>
      <c r="J8" s="143">
        <v>-29.311388999999998</v>
      </c>
      <c r="K8" s="143">
        <v>114.943056</v>
      </c>
      <c r="L8" s="143">
        <v>1971</v>
      </c>
      <c r="M8" s="143">
        <v>51</v>
      </c>
      <c r="N8" s="143">
        <v>0</v>
      </c>
      <c r="O8" s="143"/>
      <c r="P8" s="143"/>
      <c r="Q8" s="143" t="s">
        <v>64</v>
      </c>
      <c r="R8" s="143" t="s">
        <v>40</v>
      </c>
      <c r="S8" s="147"/>
      <c r="T8" s="143"/>
      <c r="U8" s="143"/>
      <c r="V8" s="143"/>
      <c r="W8" s="143"/>
      <c r="X8" s="143"/>
      <c r="Y8" s="143"/>
      <c r="Z8" s="143"/>
      <c r="AA8" s="143"/>
      <c r="AB8" s="143"/>
      <c r="AC8" s="143"/>
      <c r="AD8" s="153"/>
      <c r="AE8" s="153"/>
      <c r="AF8" s="143"/>
      <c r="AG8" s="155"/>
      <c r="AH8" s="150" t="s">
        <v>37</v>
      </c>
      <c r="AI8" s="151" t="s">
        <v>76</v>
      </c>
      <c r="AJ8" s="151" t="s">
        <v>70</v>
      </c>
      <c r="AK8" s="151" t="s">
        <v>70</v>
      </c>
      <c r="AL8" s="151" t="s">
        <v>118</v>
      </c>
      <c r="AM8" s="151" t="s">
        <v>70</v>
      </c>
      <c r="AN8" s="151" t="s">
        <v>70</v>
      </c>
      <c r="AO8" s="151" t="s">
        <v>70</v>
      </c>
      <c r="AP8" s="152" t="s">
        <v>26</v>
      </c>
      <c r="AQ8" s="153" t="s">
        <v>26</v>
      </c>
      <c r="AR8" s="160" t="str">
        <f>IF(BF8&gt;(BB8*1.1),"yes","no")</f>
        <v>no</v>
      </c>
      <c r="AS8" s="160" t="str">
        <f>IF(BM8&gt;(BK8*1.1),"yes","no")</f>
        <v>no</v>
      </c>
      <c r="AT8" s="160" t="str">
        <f>IF(BM8&gt;(BK8*1.1),"yes","no")</f>
        <v>no</v>
      </c>
      <c r="AU8" s="167">
        <v>10383</v>
      </c>
      <c r="AV8" s="153" t="s">
        <v>106</v>
      </c>
      <c r="AW8" s="153" t="s">
        <v>106</v>
      </c>
      <c r="AX8" s="153" t="s">
        <v>108</v>
      </c>
      <c r="AY8" s="153" t="s">
        <v>108</v>
      </c>
      <c r="AZ8" s="153" t="s">
        <v>108</v>
      </c>
      <c r="BA8" s="154" t="s">
        <v>114</v>
      </c>
      <c r="BB8" s="152">
        <v>101225</v>
      </c>
      <c r="BC8" s="153">
        <v>101225</v>
      </c>
      <c r="BD8" s="153">
        <v>101225</v>
      </c>
      <c r="BE8" s="157">
        <v>101502</v>
      </c>
      <c r="BF8" s="157">
        <v>101225</v>
      </c>
      <c r="BG8" s="157"/>
      <c r="BH8" s="155"/>
      <c r="BI8" s="152" t="s">
        <v>920</v>
      </c>
      <c r="BJ8" s="153" t="s">
        <v>920</v>
      </c>
      <c r="BK8" s="153">
        <v>106316</v>
      </c>
      <c r="BL8" s="153">
        <v>107932</v>
      </c>
      <c r="BM8" s="153">
        <v>100087</v>
      </c>
      <c r="BN8" s="154">
        <f>SUMIF(BI8:BM8,"&gt;0",BI8:BM8)</f>
        <v>314335</v>
      </c>
      <c r="BO8" s="156"/>
      <c r="BP8" s="148"/>
      <c r="BQ8" s="153"/>
      <c r="BR8" s="153"/>
      <c r="BS8" s="152"/>
      <c r="BT8" s="148"/>
      <c r="BU8" s="148"/>
      <c r="BV8" s="148"/>
      <c r="BW8" s="148"/>
      <c r="BX8" s="154">
        <f>SUM(BS8:BW8)</f>
        <v>0</v>
      </c>
      <c r="BY8" s="143"/>
      <c r="BZ8" s="143"/>
      <c r="CA8" s="143"/>
      <c r="CB8" s="143"/>
      <c r="CC8" s="143"/>
      <c r="CD8" s="155"/>
    </row>
    <row r="9" spans="1:83" ht="14.5">
      <c r="A9" s="143" t="s">
        <v>424</v>
      </c>
      <c r="B9" s="143"/>
      <c r="C9" s="144" t="s">
        <v>610</v>
      </c>
      <c r="D9" s="159" t="s">
        <v>1433</v>
      </c>
      <c r="E9" s="145" t="s">
        <v>611</v>
      </c>
      <c r="F9" s="143" t="str">
        <f>SUBSTITUTE(E9," ","")</f>
        <v>93004879298</v>
      </c>
      <c r="G9" s="143" t="s">
        <v>1476</v>
      </c>
      <c r="H9" s="143" t="s">
        <v>81</v>
      </c>
      <c r="I9" s="143">
        <v>6165</v>
      </c>
      <c r="J9" s="143">
        <v>-32.192222000000001</v>
      </c>
      <c r="K9" s="143">
        <v>115.7775</v>
      </c>
      <c r="L9" s="143">
        <v>1963</v>
      </c>
      <c r="M9" s="143">
        <v>59</v>
      </c>
      <c r="N9" s="143">
        <v>0</v>
      </c>
      <c r="O9" s="143"/>
      <c r="P9" s="143"/>
      <c r="Q9" s="143" t="s">
        <v>16</v>
      </c>
      <c r="R9" s="143" t="s">
        <v>17</v>
      </c>
      <c r="S9" s="147"/>
      <c r="T9" s="143"/>
      <c r="U9" s="143"/>
      <c r="V9" s="143"/>
      <c r="W9" s="143"/>
      <c r="X9" s="143"/>
      <c r="Y9" s="143"/>
      <c r="Z9" s="143"/>
      <c r="AA9" s="143"/>
      <c r="AB9" s="143"/>
      <c r="AC9" s="143"/>
      <c r="AD9" s="153"/>
      <c r="AE9" s="153"/>
      <c r="AF9" s="143"/>
      <c r="AG9" s="155"/>
      <c r="AH9" s="150" t="s">
        <v>37</v>
      </c>
      <c r="AI9" s="151" t="s">
        <v>76</v>
      </c>
      <c r="AJ9" s="151" t="s">
        <v>70</v>
      </c>
      <c r="AK9" s="151" t="s">
        <v>70</v>
      </c>
      <c r="AL9" s="151" t="s">
        <v>118</v>
      </c>
      <c r="AM9" s="151" t="s">
        <v>70</v>
      </c>
      <c r="AN9" s="151" t="s">
        <v>70</v>
      </c>
      <c r="AO9" s="151" t="s">
        <v>70</v>
      </c>
      <c r="AP9" s="152"/>
      <c r="AQ9" s="153"/>
      <c r="AR9" s="153"/>
      <c r="AS9" s="153"/>
      <c r="AT9" s="153"/>
      <c r="AU9" s="154"/>
      <c r="AV9" s="153" t="s">
        <v>1028</v>
      </c>
      <c r="AW9" s="153" t="s">
        <v>106</v>
      </c>
      <c r="AX9" s="153" t="s">
        <v>106</v>
      </c>
      <c r="AY9" s="153" t="s">
        <v>106</v>
      </c>
      <c r="AZ9" s="153" t="s">
        <v>98</v>
      </c>
      <c r="BA9" s="260" t="s">
        <v>98</v>
      </c>
      <c r="BB9" s="152">
        <v>1309104</v>
      </c>
      <c r="BC9" s="153">
        <v>1309104</v>
      </c>
      <c r="BD9" s="153">
        <v>1309104</v>
      </c>
      <c r="BE9" s="157">
        <v>1309104</v>
      </c>
      <c r="BF9" s="157">
        <v>1323436</v>
      </c>
      <c r="BG9" s="157"/>
      <c r="BH9" s="155"/>
      <c r="BI9" s="152">
        <v>1282994</v>
      </c>
      <c r="BJ9" s="153">
        <v>1250831</v>
      </c>
      <c r="BK9" s="153">
        <v>1258124</v>
      </c>
      <c r="BL9" s="153">
        <v>1272256</v>
      </c>
      <c r="BM9" s="153">
        <v>1292269</v>
      </c>
      <c r="BN9" s="154">
        <f>SUMIF(BI9:BM9,"&gt;0",BI9:BM9)</f>
        <v>6356474</v>
      </c>
      <c r="BO9" s="156"/>
      <c r="BP9" s="148"/>
      <c r="BQ9" s="153"/>
      <c r="BR9" s="153"/>
      <c r="BS9" s="152"/>
      <c r="BT9" s="148"/>
      <c r="BU9" s="148"/>
      <c r="BV9" s="148"/>
      <c r="BW9" s="148"/>
      <c r="BX9" s="154">
        <f>SUM(BS9:BW9)</f>
        <v>0</v>
      </c>
      <c r="BY9" s="143"/>
      <c r="BZ9" s="143"/>
      <c r="CA9" s="143"/>
      <c r="CB9" s="143"/>
      <c r="CC9" s="143"/>
      <c r="CD9" s="155"/>
    </row>
    <row r="10" spans="1:83" ht="14.5">
      <c r="A10" s="143" t="s">
        <v>509</v>
      </c>
      <c r="B10" s="143" t="s">
        <v>1758</v>
      </c>
      <c r="C10" s="144" t="s">
        <v>1759</v>
      </c>
      <c r="D10" s="159" t="s">
        <v>1433</v>
      </c>
      <c r="E10" s="145" t="s">
        <v>786</v>
      </c>
      <c r="F10" s="143" t="str">
        <f>SUBSTITUTE(E10," ","")</f>
        <v>80006306752</v>
      </c>
      <c r="G10" s="143" t="s">
        <v>1760</v>
      </c>
      <c r="H10" s="143" t="s">
        <v>74</v>
      </c>
      <c r="I10" s="143">
        <v>3305</v>
      </c>
      <c r="J10" s="143">
        <v>-38.376902000000001</v>
      </c>
      <c r="K10" s="143">
        <v>141.631055</v>
      </c>
      <c r="L10" s="143">
        <v>1986</v>
      </c>
      <c r="M10" s="143">
        <v>36</v>
      </c>
      <c r="N10" s="143">
        <v>0</v>
      </c>
      <c r="O10" s="143"/>
      <c r="P10" s="143"/>
      <c r="Q10" s="143" t="s">
        <v>39</v>
      </c>
      <c r="R10" s="143" t="s">
        <v>17</v>
      </c>
      <c r="S10" s="147"/>
      <c r="T10" s="143"/>
      <c r="U10" s="143"/>
      <c r="V10" s="143"/>
      <c r="W10" s="143"/>
      <c r="X10" s="143"/>
      <c r="Y10" s="143"/>
      <c r="Z10" s="143"/>
      <c r="AA10" s="143"/>
      <c r="AB10" s="143"/>
      <c r="AC10" s="143"/>
      <c r="AD10" s="153"/>
      <c r="AE10" s="153"/>
      <c r="AF10" s="143"/>
      <c r="AG10" s="155"/>
      <c r="AH10" s="150" t="s">
        <v>37</v>
      </c>
      <c r="AI10" s="151" t="s">
        <v>76</v>
      </c>
      <c r="AJ10" s="151" t="s">
        <v>70</v>
      </c>
      <c r="AK10" s="151" t="s">
        <v>70</v>
      </c>
      <c r="AL10" s="151" t="s">
        <v>118</v>
      </c>
      <c r="AM10" s="151" t="s">
        <v>70</v>
      </c>
      <c r="AN10" s="151" t="s">
        <v>70</v>
      </c>
      <c r="AO10" s="151" t="s">
        <v>70</v>
      </c>
      <c r="AP10" s="152" t="s">
        <v>26</v>
      </c>
      <c r="AQ10" s="153" t="s">
        <v>26</v>
      </c>
      <c r="AR10" s="160" t="str">
        <f>IF(BF10&gt;(BC10*1.1),"yes","no")</f>
        <v>no</v>
      </c>
      <c r="AS10" s="160" t="str">
        <f>IF(BM10&gt;(BJ10*1.1),"yes","no")</f>
        <v>no</v>
      </c>
      <c r="AT10" s="160" t="str">
        <f>IF(BM10&gt;(BI10*1.1),"yes","no")</f>
        <v>yes</v>
      </c>
      <c r="AU10" s="154">
        <v>47541</v>
      </c>
      <c r="AV10" s="153" t="s">
        <v>1028</v>
      </c>
      <c r="AW10" s="153" t="s">
        <v>108</v>
      </c>
      <c r="AX10" s="153" t="s">
        <v>80</v>
      </c>
      <c r="AY10" s="153" t="s">
        <v>80</v>
      </c>
      <c r="AZ10" s="153" t="s">
        <v>80</v>
      </c>
      <c r="BA10" s="154" t="s">
        <v>98</v>
      </c>
      <c r="BB10" s="152">
        <v>567806</v>
      </c>
      <c r="BC10" s="153">
        <v>567806</v>
      </c>
      <c r="BD10" s="153">
        <v>584470</v>
      </c>
      <c r="BE10" s="157">
        <v>586071</v>
      </c>
      <c r="BF10" s="157">
        <v>577943</v>
      </c>
      <c r="BG10" s="157"/>
      <c r="BH10" s="155"/>
      <c r="BI10" s="152">
        <v>390071</v>
      </c>
      <c r="BJ10" s="153">
        <v>575680</v>
      </c>
      <c r="BK10" s="153">
        <v>579013</v>
      </c>
      <c r="BL10" s="153">
        <v>614289</v>
      </c>
      <c r="BM10" s="153">
        <v>594849</v>
      </c>
      <c r="BN10" s="154">
        <f>SUMIF(BI10:BM10,"&gt;0",BI10:BM10)</f>
        <v>2753902</v>
      </c>
      <c r="BO10" s="156"/>
      <c r="BP10" s="148"/>
      <c r="BQ10" s="153"/>
      <c r="BR10" s="153"/>
      <c r="BS10" s="152"/>
      <c r="BT10" s="148"/>
      <c r="BU10" s="148"/>
      <c r="BV10" s="148"/>
      <c r="BW10" s="148"/>
      <c r="BX10" s="154">
        <f>SUM(BS10:BW10)</f>
        <v>0</v>
      </c>
      <c r="BY10" s="143"/>
      <c r="BZ10" s="143"/>
      <c r="CA10" s="143"/>
      <c r="CB10" s="143"/>
      <c r="CC10" s="143"/>
      <c r="CD10" s="155"/>
    </row>
    <row r="11" spans="1:83" ht="14.5">
      <c r="A11" s="143" t="s">
        <v>412</v>
      </c>
      <c r="B11" s="143"/>
      <c r="C11" s="144" t="s">
        <v>610</v>
      </c>
      <c r="D11" s="159" t="s">
        <v>1433</v>
      </c>
      <c r="E11" s="145" t="s">
        <v>611</v>
      </c>
      <c r="F11" s="143" t="str">
        <f>SUBSTITUTE(E11," ","")</f>
        <v>93004879298</v>
      </c>
      <c r="G11" s="143" t="s">
        <v>1434</v>
      </c>
      <c r="H11" s="143" t="s">
        <v>81</v>
      </c>
      <c r="I11" s="143">
        <v>6213</v>
      </c>
      <c r="J11" s="143">
        <v>-32.624167</v>
      </c>
      <c r="K11" s="143">
        <v>116.057778</v>
      </c>
      <c r="L11" s="143">
        <v>1976</v>
      </c>
      <c r="M11" s="143">
        <v>46</v>
      </c>
      <c r="N11" s="143">
        <v>0</v>
      </c>
      <c r="O11" s="143"/>
      <c r="P11" s="143"/>
      <c r="Q11" s="143" t="s">
        <v>50</v>
      </c>
      <c r="R11" s="143" t="s">
        <v>17</v>
      </c>
      <c r="S11" s="147"/>
      <c r="T11" s="143"/>
      <c r="U11" s="143"/>
      <c r="V11" s="143"/>
      <c r="W11" s="143"/>
      <c r="X11" s="143"/>
      <c r="Y11" s="143"/>
      <c r="Z11" s="143"/>
      <c r="AA11" s="143"/>
      <c r="AB11" s="143"/>
      <c r="AC11" s="143"/>
      <c r="AD11" s="153"/>
      <c r="AE11" s="153"/>
      <c r="AF11" s="143"/>
      <c r="AG11" s="155"/>
      <c r="AH11" s="150" t="s">
        <v>37</v>
      </c>
      <c r="AI11" s="151" t="s">
        <v>76</v>
      </c>
      <c r="AJ11" s="151" t="s">
        <v>70</v>
      </c>
      <c r="AK11" s="151" t="s">
        <v>70</v>
      </c>
      <c r="AL11" s="151" t="s">
        <v>118</v>
      </c>
      <c r="AM11" s="151" t="s">
        <v>70</v>
      </c>
      <c r="AN11" s="151" t="s">
        <v>70</v>
      </c>
      <c r="AO11" s="151" t="s">
        <v>70</v>
      </c>
      <c r="AP11" s="152"/>
      <c r="AQ11" s="153"/>
      <c r="AR11" s="153"/>
      <c r="AS11" s="153"/>
      <c r="AT11" s="153"/>
      <c r="AU11" s="154"/>
      <c r="AV11" s="153" t="s">
        <v>114</v>
      </c>
      <c r="AW11" s="153" t="s">
        <v>114</v>
      </c>
      <c r="AX11" s="153" t="s">
        <v>114</v>
      </c>
      <c r="AY11" s="153" t="s">
        <v>114</v>
      </c>
      <c r="AZ11" s="153" t="s">
        <v>73</v>
      </c>
      <c r="BA11" s="154" t="s">
        <v>73</v>
      </c>
      <c r="BB11" s="152" t="s">
        <v>114</v>
      </c>
      <c r="BC11" s="153" t="s">
        <v>114</v>
      </c>
      <c r="BD11" s="153" t="s">
        <v>114</v>
      </c>
      <c r="BE11" s="157" t="s">
        <v>114</v>
      </c>
      <c r="BF11" s="157">
        <v>109357</v>
      </c>
      <c r="BG11" s="157"/>
      <c r="BH11" s="155"/>
      <c r="BI11" s="152" t="s">
        <v>920</v>
      </c>
      <c r="BJ11" s="153" t="s">
        <v>920</v>
      </c>
      <c r="BK11" s="153" t="s">
        <v>920</v>
      </c>
      <c r="BL11" s="153" t="s">
        <v>920</v>
      </c>
      <c r="BM11" s="153">
        <v>100475</v>
      </c>
      <c r="BN11" s="154">
        <f>SUMIF(BI11:BM11,"&gt;0",BI11:BM11)</f>
        <v>100475</v>
      </c>
      <c r="BO11" s="156"/>
      <c r="BP11" s="148"/>
      <c r="BQ11" s="153"/>
      <c r="BR11" s="153"/>
      <c r="BS11" s="152"/>
      <c r="BT11" s="148"/>
      <c r="BU11" s="148"/>
      <c r="BV11" s="148"/>
      <c r="BW11" s="148"/>
      <c r="BX11" s="154">
        <f>SUM(BS11:BW11)</f>
        <v>0</v>
      </c>
      <c r="BY11" s="143"/>
      <c r="BZ11" s="143"/>
      <c r="CA11" s="143"/>
      <c r="CB11" s="143"/>
      <c r="CC11" s="143"/>
      <c r="CD11" s="155"/>
    </row>
    <row r="12" spans="1:83" ht="14.5">
      <c r="A12" s="143" t="s">
        <v>502</v>
      </c>
      <c r="B12" s="143" t="s">
        <v>1726</v>
      </c>
      <c r="C12" s="144" t="s">
        <v>610</v>
      </c>
      <c r="D12" s="144" t="s">
        <v>1727</v>
      </c>
      <c r="E12" s="145" t="s">
        <v>611</v>
      </c>
      <c r="F12" s="143" t="str">
        <f>SUBSTITUTE(E12," ","")</f>
        <v>93004879298</v>
      </c>
      <c r="G12" s="143" t="s">
        <v>1728</v>
      </c>
      <c r="H12" s="143" t="s">
        <v>81</v>
      </c>
      <c r="I12" s="143">
        <v>6208</v>
      </c>
      <c r="J12" s="143">
        <v>-32.634999999999998</v>
      </c>
      <c r="K12" s="143">
        <v>115.94416699999999</v>
      </c>
      <c r="L12" s="143">
        <v>1972</v>
      </c>
      <c r="M12" s="143">
        <v>50</v>
      </c>
      <c r="N12" s="143">
        <v>0</v>
      </c>
      <c r="O12" s="143"/>
      <c r="P12" s="143"/>
      <c r="Q12" s="143" t="s">
        <v>16</v>
      </c>
      <c r="R12" s="143" t="s">
        <v>17</v>
      </c>
      <c r="S12" s="147"/>
      <c r="T12" s="143"/>
      <c r="U12" s="143"/>
      <c r="V12" s="143"/>
      <c r="W12" s="143"/>
      <c r="X12" s="143"/>
      <c r="Y12" s="143"/>
      <c r="Z12" s="143"/>
      <c r="AA12" s="143"/>
      <c r="AB12" s="143"/>
      <c r="AC12" s="143"/>
      <c r="AD12" s="153"/>
      <c r="AE12" s="153"/>
      <c r="AF12" s="143"/>
      <c r="AG12" s="155"/>
      <c r="AH12" s="150" t="s">
        <v>37</v>
      </c>
      <c r="AI12" s="151" t="s">
        <v>76</v>
      </c>
      <c r="AJ12" s="151" t="s">
        <v>70</v>
      </c>
      <c r="AK12" s="151" t="s">
        <v>70</v>
      </c>
      <c r="AL12" s="151" t="s">
        <v>118</v>
      </c>
      <c r="AM12" s="151" t="s">
        <v>70</v>
      </c>
      <c r="AN12" s="151" t="s">
        <v>70</v>
      </c>
      <c r="AO12" s="151" t="s">
        <v>70</v>
      </c>
      <c r="AP12" s="152"/>
      <c r="AQ12" s="153"/>
      <c r="AR12" s="153"/>
      <c r="AS12" s="153"/>
      <c r="AT12" s="153"/>
      <c r="AU12" s="154"/>
      <c r="AV12" s="153" t="s">
        <v>1028</v>
      </c>
      <c r="AW12" s="153" t="s">
        <v>106</v>
      </c>
      <c r="AX12" s="153" t="s">
        <v>106</v>
      </c>
      <c r="AY12" s="153" t="s">
        <v>106</v>
      </c>
      <c r="AZ12" s="153" t="s">
        <v>98</v>
      </c>
      <c r="BA12" s="154" t="s">
        <v>98</v>
      </c>
      <c r="BB12" s="152">
        <v>1550868</v>
      </c>
      <c r="BC12" s="153">
        <v>1550868</v>
      </c>
      <c r="BD12" s="153">
        <v>1550868</v>
      </c>
      <c r="BE12" s="157">
        <v>1550868</v>
      </c>
      <c r="BF12" s="157">
        <v>3056433</v>
      </c>
      <c r="BG12" s="157"/>
      <c r="BH12" s="155"/>
      <c r="BI12" s="152">
        <v>1470959</v>
      </c>
      <c r="BJ12" s="153">
        <v>1490263</v>
      </c>
      <c r="BK12" s="153">
        <v>1514832</v>
      </c>
      <c r="BL12" s="153">
        <v>1505129</v>
      </c>
      <c r="BM12" s="153">
        <v>1576697</v>
      </c>
      <c r="BN12" s="154">
        <f>SUMIF(BI12:BM12,"&gt;0",BI12:BM12)</f>
        <v>7557880</v>
      </c>
      <c r="BO12" s="156"/>
      <c r="BP12" s="148"/>
      <c r="BQ12" s="153"/>
      <c r="BR12" s="153"/>
      <c r="BS12" s="152"/>
      <c r="BT12" s="148"/>
      <c r="BU12" s="148"/>
      <c r="BV12" s="148"/>
      <c r="BW12" s="148"/>
      <c r="BX12" s="154">
        <f>SUM(BS12:BW12)</f>
        <v>0</v>
      </c>
      <c r="BY12" s="143"/>
      <c r="BZ12" s="143"/>
      <c r="CA12" s="143"/>
      <c r="CB12" s="143"/>
      <c r="CC12" s="143"/>
      <c r="CD12" s="155"/>
    </row>
    <row r="13" spans="1:83" ht="14.5">
      <c r="A13" s="143" t="s">
        <v>582</v>
      </c>
      <c r="B13" s="143"/>
      <c r="C13" s="144" t="s">
        <v>610</v>
      </c>
      <c r="D13" s="144" t="s">
        <v>1727</v>
      </c>
      <c r="E13" s="145" t="s">
        <v>611</v>
      </c>
      <c r="F13" s="143" t="str">
        <f>SUBSTITUTE(E13," ","")</f>
        <v>93004879298</v>
      </c>
      <c r="G13" s="143" t="s">
        <v>2004</v>
      </c>
      <c r="H13" s="143" t="s">
        <v>81</v>
      </c>
      <c r="I13" s="143">
        <v>6215</v>
      </c>
      <c r="J13" s="143">
        <v>-32.916666999999997</v>
      </c>
      <c r="K13" s="143">
        <v>115.915278</v>
      </c>
      <c r="L13" s="143">
        <v>1984</v>
      </c>
      <c r="M13" s="143">
        <v>38</v>
      </c>
      <c r="N13" s="143">
        <v>0</v>
      </c>
      <c r="O13" s="143"/>
      <c r="P13" s="143"/>
      <c r="Q13" s="143" t="s">
        <v>16</v>
      </c>
      <c r="R13" s="143" t="s">
        <v>17</v>
      </c>
      <c r="S13" s="147"/>
      <c r="T13" s="143"/>
      <c r="U13" s="143"/>
      <c r="V13" s="143"/>
      <c r="W13" s="143"/>
      <c r="X13" s="143"/>
      <c r="Y13" s="143"/>
      <c r="Z13" s="143"/>
      <c r="AA13" s="143"/>
      <c r="AB13" s="143"/>
      <c r="AC13" s="143"/>
      <c r="AD13" s="153"/>
      <c r="AE13" s="153"/>
      <c r="AF13" s="143"/>
      <c r="AG13" s="155"/>
      <c r="AH13" s="150" t="s">
        <v>37</v>
      </c>
      <c r="AI13" s="151" t="s">
        <v>76</v>
      </c>
      <c r="AJ13" s="151" t="s">
        <v>70</v>
      </c>
      <c r="AK13" s="151" t="s">
        <v>70</v>
      </c>
      <c r="AL13" s="151" t="s">
        <v>118</v>
      </c>
      <c r="AM13" s="151" t="s">
        <v>70</v>
      </c>
      <c r="AN13" s="151" t="s">
        <v>70</v>
      </c>
      <c r="AO13" s="151" t="s">
        <v>70</v>
      </c>
      <c r="AP13" s="152"/>
      <c r="AQ13" s="153"/>
      <c r="AR13" s="153"/>
      <c r="AS13" s="153"/>
      <c r="AT13" s="153"/>
      <c r="AU13" s="154"/>
      <c r="AV13" s="153" t="s">
        <v>41</v>
      </c>
      <c r="AW13" s="153" t="s">
        <v>41</v>
      </c>
      <c r="AX13" s="153" t="s">
        <v>41</v>
      </c>
      <c r="AY13" s="153" t="s">
        <v>41</v>
      </c>
      <c r="AZ13" s="153" t="s">
        <v>98</v>
      </c>
      <c r="BA13" s="154" t="s">
        <v>98</v>
      </c>
      <c r="BB13" s="152">
        <v>1481761</v>
      </c>
      <c r="BC13" s="153">
        <v>1481761</v>
      </c>
      <c r="BD13" s="153">
        <v>1481761</v>
      </c>
      <c r="BE13" s="157">
        <v>1481761</v>
      </c>
      <c r="BF13" s="157">
        <v>1894645</v>
      </c>
      <c r="BG13" s="157"/>
      <c r="BH13" s="155"/>
      <c r="BI13" s="152">
        <v>1433823</v>
      </c>
      <c r="BJ13" s="153">
        <v>1448358</v>
      </c>
      <c r="BK13" s="153">
        <v>1380208</v>
      </c>
      <c r="BL13" s="153">
        <v>1471583</v>
      </c>
      <c r="BM13" s="153">
        <v>1415989</v>
      </c>
      <c r="BN13" s="154">
        <f>SUMIF(BI13:BM13,"&gt;0",BI13:BM13)</f>
        <v>7149961</v>
      </c>
      <c r="BO13" s="156"/>
      <c r="BP13" s="148"/>
      <c r="BQ13" s="153"/>
      <c r="BR13" s="153"/>
      <c r="BS13" s="152"/>
      <c r="BT13" s="148"/>
      <c r="BU13" s="148"/>
      <c r="BV13" s="148"/>
      <c r="BW13" s="148"/>
      <c r="BX13" s="154">
        <f>SUM(BS13:BW13)</f>
        <v>0</v>
      </c>
      <c r="BY13" s="143"/>
      <c r="BZ13" s="143"/>
      <c r="CA13" s="143"/>
      <c r="CB13" s="143"/>
      <c r="CC13" s="143"/>
      <c r="CD13" s="155"/>
    </row>
    <row r="14" spans="1:83" ht="14.5">
      <c r="A14" s="143" t="s">
        <v>504</v>
      </c>
      <c r="B14" s="143" t="s">
        <v>1739</v>
      </c>
      <c r="C14" s="144" t="s">
        <v>610</v>
      </c>
      <c r="D14" s="144" t="s">
        <v>1727</v>
      </c>
      <c r="E14" s="145" t="s">
        <v>611</v>
      </c>
      <c r="F14" s="143" t="str">
        <f>SUBSTITUTE(E14," ","")</f>
        <v>93004879298</v>
      </c>
      <c r="G14" s="143" t="s">
        <v>1740</v>
      </c>
      <c r="H14" s="143" t="s">
        <v>74</v>
      </c>
      <c r="I14" s="143">
        <v>3221</v>
      </c>
      <c r="J14" s="143">
        <v>-38.134903999999999</v>
      </c>
      <c r="K14" s="143">
        <v>144.42492300000001</v>
      </c>
      <c r="L14" s="143" t="s">
        <v>292</v>
      </c>
      <c r="M14" s="143" t="s">
        <v>292</v>
      </c>
      <c r="N14" s="143" t="s">
        <v>292</v>
      </c>
      <c r="O14" s="143"/>
      <c r="P14" s="143"/>
      <c r="Q14" s="143" t="s">
        <v>39</v>
      </c>
      <c r="R14" s="143" t="s">
        <v>17</v>
      </c>
      <c r="S14" s="147"/>
      <c r="T14" s="143"/>
      <c r="U14" s="143"/>
      <c r="V14" s="143"/>
      <c r="W14" s="143"/>
      <c r="X14" s="143"/>
      <c r="Y14" s="143"/>
      <c r="Z14" s="143"/>
      <c r="AA14" s="143"/>
      <c r="AB14" s="143"/>
      <c r="AC14" s="143"/>
      <c r="AD14" s="153"/>
      <c r="AE14" s="153"/>
      <c r="AF14" s="143"/>
      <c r="AG14" s="155"/>
      <c r="AH14" s="150" t="s">
        <v>37</v>
      </c>
      <c r="AI14" s="151" t="s">
        <v>76</v>
      </c>
      <c r="AJ14" s="151" t="s">
        <v>70</v>
      </c>
      <c r="AK14" s="151" t="s">
        <v>70</v>
      </c>
      <c r="AL14" s="151" t="s">
        <v>118</v>
      </c>
      <c r="AM14" s="151" t="s">
        <v>70</v>
      </c>
      <c r="AN14" s="151" t="s">
        <v>70</v>
      </c>
      <c r="AO14" s="151" t="s">
        <v>70</v>
      </c>
      <c r="AP14" s="152"/>
      <c r="AQ14" s="153"/>
      <c r="AR14" s="153"/>
      <c r="AS14" s="153"/>
      <c r="AT14" s="153"/>
      <c r="AU14" s="154"/>
      <c r="AV14" s="153" t="s">
        <v>106</v>
      </c>
      <c r="AW14" s="153" t="s">
        <v>106</v>
      </c>
      <c r="AX14" s="153" t="s">
        <v>106</v>
      </c>
      <c r="AY14" s="153" t="s">
        <v>106</v>
      </c>
      <c r="AZ14" s="153" t="s">
        <v>106</v>
      </c>
      <c r="BA14" s="154" t="s">
        <v>114</v>
      </c>
      <c r="BB14" s="152">
        <v>100000</v>
      </c>
      <c r="BC14" s="153">
        <v>100000</v>
      </c>
      <c r="BD14" s="153">
        <v>100000</v>
      </c>
      <c r="BE14" s="153">
        <v>100000</v>
      </c>
      <c r="BF14" s="153">
        <v>100000</v>
      </c>
      <c r="BG14" s="157"/>
      <c r="BH14" s="155"/>
      <c r="BI14" s="152" t="s">
        <v>920</v>
      </c>
      <c r="BJ14" s="153" t="s">
        <v>920</v>
      </c>
      <c r="BK14" s="153" t="s">
        <v>920</v>
      </c>
      <c r="BL14" s="153" t="s">
        <v>920</v>
      </c>
      <c r="BM14" s="153" t="s">
        <v>920</v>
      </c>
      <c r="BN14" s="154">
        <f>SUMIF(BI14:BM14,"&gt;0",BI14:BM14)</f>
        <v>0</v>
      </c>
      <c r="BO14" s="156"/>
      <c r="BP14" s="148"/>
      <c r="BQ14" s="153"/>
      <c r="BR14" s="153"/>
      <c r="BS14" s="152"/>
      <c r="BT14" s="148"/>
      <c r="BU14" s="148"/>
      <c r="BV14" s="148"/>
      <c r="BW14" s="148"/>
      <c r="BX14" s="154">
        <f>SUM(BS14:BW14)</f>
        <v>0</v>
      </c>
      <c r="BY14" s="143"/>
      <c r="BZ14" s="143"/>
      <c r="CA14" s="143"/>
      <c r="CB14" s="143"/>
      <c r="CC14" s="143"/>
      <c r="CD14" s="155"/>
    </row>
    <row r="15" spans="1:83" ht="14.5">
      <c r="A15" s="143" t="s">
        <v>588</v>
      </c>
      <c r="B15" s="143" t="s">
        <v>1017</v>
      </c>
      <c r="C15" s="144" t="s">
        <v>791</v>
      </c>
      <c r="D15" s="144" t="s">
        <v>1806</v>
      </c>
      <c r="E15" s="145" t="s">
        <v>792</v>
      </c>
      <c r="F15" s="143" t="str">
        <f>SUBSTITUTE(E15," ","")</f>
        <v>96153361525</v>
      </c>
      <c r="G15" s="143" t="s">
        <v>292</v>
      </c>
      <c r="H15" s="143" t="s">
        <v>81</v>
      </c>
      <c r="I15" s="143" t="s">
        <v>292</v>
      </c>
      <c r="J15" s="143" t="s">
        <v>292</v>
      </c>
      <c r="K15" s="143" t="s">
        <v>292</v>
      </c>
      <c r="L15" s="143" t="s">
        <v>292</v>
      </c>
      <c r="M15" s="143" t="s">
        <v>292</v>
      </c>
      <c r="N15" s="143" t="s">
        <v>292</v>
      </c>
      <c r="O15" s="143"/>
      <c r="P15" s="143"/>
      <c r="Q15" s="143" t="s">
        <v>272</v>
      </c>
      <c r="R15" s="143" t="s">
        <v>79</v>
      </c>
      <c r="S15" s="147"/>
      <c r="T15" s="143"/>
      <c r="U15" s="143"/>
      <c r="V15" s="143"/>
      <c r="W15" s="143"/>
      <c r="X15" s="143"/>
      <c r="Y15" s="143"/>
      <c r="Z15" s="143"/>
      <c r="AA15" s="143"/>
      <c r="AB15" s="143"/>
      <c r="AC15" s="143"/>
      <c r="AD15" s="153"/>
      <c r="AE15" s="153"/>
      <c r="AF15" s="143"/>
      <c r="AG15" s="155"/>
      <c r="AH15" s="150" t="s">
        <v>37</v>
      </c>
      <c r="AI15" s="151" t="s">
        <v>76</v>
      </c>
      <c r="AJ15" s="151" t="s">
        <v>70</v>
      </c>
      <c r="AK15" s="151" t="s">
        <v>70</v>
      </c>
      <c r="AL15" s="151" t="s">
        <v>118</v>
      </c>
      <c r="AM15" s="151" t="s">
        <v>70</v>
      </c>
      <c r="AN15" s="151" t="s">
        <v>70</v>
      </c>
      <c r="AO15" s="151" t="s">
        <v>70</v>
      </c>
      <c r="AP15" s="152" t="s">
        <v>26</v>
      </c>
      <c r="AQ15" s="153" t="s">
        <v>37</v>
      </c>
      <c r="AR15" s="148" t="s">
        <v>1094</v>
      </c>
      <c r="AS15" s="148" t="s">
        <v>1094</v>
      </c>
      <c r="AT15" s="148" t="s">
        <v>1094</v>
      </c>
      <c r="AU15" s="154">
        <v>0</v>
      </c>
      <c r="AV15" s="153" t="s">
        <v>114</v>
      </c>
      <c r="AW15" s="153" t="s">
        <v>114</v>
      </c>
      <c r="AX15" s="153" t="s">
        <v>114</v>
      </c>
      <c r="AY15" s="153" t="s">
        <v>114</v>
      </c>
      <c r="AZ15" s="153" t="s">
        <v>1095</v>
      </c>
      <c r="BA15" s="154" t="s">
        <v>1095</v>
      </c>
      <c r="BB15" s="152" t="s">
        <v>114</v>
      </c>
      <c r="BC15" s="153" t="s">
        <v>114</v>
      </c>
      <c r="BD15" s="153" t="s">
        <v>114</v>
      </c>
      <c r="BE15" s="153" t="s">
        <v>114</v>
      </c>
      <c r="BF15" s="157">
        <v>100000</v>
      </c>
      <c r="BG15" s="157"/>
      <c r="BH15" s="155"/>
      <c r="BI15" s="152" t="s">
        <v>920</v>
      </c>
      <c r="BJ15" s="153" t="s">
        <v>920</v>
      </c>
      <c r="BK15" s="153" t="s">
        <v>920</v>
      </c>
      <c r="BL15" s="153" t="s">
        <v>920</v>
      </c>
      <c r="BM15" s="153">
        <v>103394</v>
      </c>
      <c r="BN15" s="154">
        <f>SUMIF(BI15:BM15,"&gt;0",BI15:BM15)</f>
        <v>103394</v>
      </c>
      <c r="BO15" s="156"/>
      <c r="BP15" s="148"/>
      <c r="BQ15" s="153"/>
      <c r="BR15" s="153"/>
      <c r="BS15" s="152"/>
      <c r="BT15" s="148"/>
      <c r="BU15" s="148"/>
      <c r="BV15" s="148"/>
      <c r="BW15" s="148"/>
      <c r="BX15" s="154">
        <f>SUM(BS15:BW15)</f>
        <v>0</v>
      </c>
      <c r="BY15" s="143"/>
      <c r="BZ15" s="143"/>
      <c r="CA15" s="143"/>
      <c r="CB15" s="143"/>
      <c r="CC15" s="143"/>
      <c r="CD15" s="155"/>
    </row>
    <row r="16" spans="1:83" ht="14.5">
      <c r="A16" s="143" t="s">
        <v>519</v>
      </c>
      <c r="B16" s="143" t="s">
        <v>1017</v>
      </c>
      <c r="C16" s="144" t="s">
        <v>791</v>
      </c>
      <c r="D16" s="144" t="s">
        <v>1806</v>
      </c>
      <c r="E16" s="145" t="s">
        <v>792</v>
      </c>
      <c r="F16" s="143" t="str">
        <f>SUBSTITUTE(E16," ","")</f>
        <v>96153361525</v>
      </c>
      <c r="G16" s="143" t="s">
        <v>292</v>
      </c>
      <c r="H16" s="143" t="s">
        <v>53</v>
      </c>
      <c r="I16" s="143" t="s">
        <v>292</v>
      </c>
      <c r="J16" s="143" t="s">
        <v>292</v>
      </c>
      <c r="K16" s="143" t="s">
        <v>292</v>
      </c>
      <c r="L16" s="143" t="s">
        <v>292</v>
      </c>
      <c r="M16" s="143" t="s">
        <v>292</v>
      </c>
      <c r="N16" s="143" t="s">
        <v>292</v>
      </c>
      <c r="O16" s="143"/>
      <c r="P16" s="143"/>
      <c r="Q16" s="143" t="s">
        <v>272</v>
      </c>
      <c r="R16" s="143" t="s">
        <v>79</v>
      </c>
      <c r="S16" s="147"/>
      <c r="T16" s="143"/>
      <c r="U16" s="143"/>
      <c r="V16" s="143"/>
      <c r="W16" s="143"/>
      <c r="X16" s="143"/>
      <c r="Y16" s="143"/>
      <c r="Z16" s="143"/>
      <c r="AA16" s="143"/>
      <c r="AB16" s="143"/>
      <c r="AC16" s="143"/>
      <c r="AD16" s="153"/>
      <c r="AE16" s="153"/>
      <c r="AF16" s="143"/>
      <c r="AG16" s="155"/>
      <c r="AH16" s="150" t="s">
        <v>37</v>
      </c>
      <c r="AI16" s="151" t="s">
        <v>76</v>
      </c>
      <c r="AJ16" s="151" t="s">
        <v>70</v>
      </c>
      <c r="AK16" s="151" t="s">
        <v>70</v>
      </c>
      <c r="AL16" s="151" t="s">
        <v>118</v>
      </c>
      <c r="AM16" s="151" t="s">
        <v>70</v>
      </c>
      <c r="AN16" s="151" t="s">
        <v>70</v>
      </c>
      <c r="AO16" s="151" t="s">
        <v>70</v>
      </c>
      <c r="AP16" s="152" t="s">
        <v>26</v>
      </c>
      <c r="AQ16" s="153" t="s">
        <v>37</v>
      </c>
      <c r="AR16" s="148" t="s">
        <v>1094</v>
      </c>
      <c r="AS16" s="148" t="s">
        <v>1094</v>
      </c>
      <c r="AT16" s="148" t="s">
        <v>1094</v>
      </c>
      <c r="AU16" s="154">
        <v>0</v>
      </c>
      <c r="AV16" s="153" t="s">
        <v>114</v>
      </c>
      <c r="AW16" s="153" t="s">
        <v>114</v>
      </c>
      <c r="AX16" s="153" t="s">
        <v>114</v>
      </c>
      <c r="AY16" s="153" t="s">
        <v>114</v>
      </c>
      <c r="AZ16" s="148" t="s">
        <v>1095</v>
      </c>
      <c r="BA16" s="169" t="s">
        <v>1095</v>
      </c>
      <c r="BB16" s="152" t="s">
        <v>114</v>
      </c>
      <c r="BC16" s="153" t="s">
        <v>114</v>
      </c>
      <c r="BD16" s="153" t="s">
        <v>114</v>
      </c>
      <c r="BE16" s="153" t="s">
        <v>114</v>
      </c>
      <c r="BF16" s="157">
        <v>100000</v>
      </c>
      <c r="BG16" s="157"/>
      <c r="BH16" s="155"/>
      <c r="BI16" s="152" t="s">
        <v>920</v>
      </c>
      <c r="BJ16" s="153" t="s">
        <v>920</v>
      </c>
      <c r="BK16" s="153" t="s">
        <v>920</v>
      </c>
      <c r="BL16" s="153" t="s">
        <v>920</v>
      </c>
      <c r="BM16" s="153">
        <v>101464</v>
      </c>
      <c r="BN16" s="154">
        <f>SUMIF(BI16:BM16,"&gt;0",BI16:BM16)</f>
        <v>101464</v>
      </c>
      <c r="BO16" s="156"/>
      <c r="BP16" s="148"/>
      <c r="BQ16" s="153"/>
      <c r="BR16" s="153"/>
      <c r="BS16" s="152"/>
      <c r="BT16" s="148"/>
      <c r="BU16" s="148"/>
      <c r="BV16" s="148"/>
      <c r="BW16" s="148"/>
      <c r="BX16" s="154">
        <f>SUM(BS16:BW16)</f>
        <v>0</v>
      </c>
      <c r="BY16" s="143"/>
      <c r="BZ16" s="143"/>
      <c r="CA16" s="143"/>
      <c r="CB16" s="143"/>
      <c r="CC16" s="143"/>
      <c r="CD16" s="155"/>
    </row>
    <row r="17" spans="1:82" ht="14.5">
      <c r="A17" s="143" t="s">
        <v>313</v>
      </c>
      <c r="B17" s="146" t="s">
        <v>313</v>
      </c>
      <c r="C17" s="144" t="s">
        <v>1090</v>
      </c>
      <c r="D17" s="144" t="s">
        <v>1091</v>
      </c>
      <c r="E17" s="145" t="s">
        <v>623</v>
      </c>
      <c r="F17" s="143" t="str">
        <f>SUBSTITUTE(E17," ","")</f>
        <v>42096909634</v>
      </c>
      <c r="G17" s="143" t="s">
        <v>1092</v>
      </c>
      <c r="H17" s="143" t="s">
        <v>53</v>
      </c>
      <c r="I17" s="143">
        <v>4702</v>
      </c>
      <c r="J17" s="143">
        <v>-24.154572000000002</v>
      </c>
      <c r="K17" s="143">
        <v>149.80027899999999</v>
      </c>
      <c r="L17" s="143">
        <v>2005</v>
      </c>
      <c r="M17" s="143">
        <v>17</v>
      </c>
      <c r="N17" s="143">
        <v>0</v>
      </c>
      <c r="O17" s="143" t="s">
        <v>35</v>
      </c>
      <c r="P17" s="173" t="s">
        <v>2076</v>
      </c>
      <c r="Q17" s="143" t="s">
        <v>29</v>
      </c>
      <c r="R17" s="143" t="s">
        <v>29</v>
      </c>
      <c r="S17" s="147"/>
      <c r="T17" s="143"/>
      <c r="U17" s="143"/>
      <c r="V17" s="143"/>
      <c r="W17" s="143"/>
      <c r="X17" s="143"/>
      <c r="Y17" s="143"/>
      <c r="Z17" s="143"/>
      <c r="AA17" s="143"/>
      <c r="AB17" s="143"/>
      <c r="AC17" s="143"/>
      <c r="AD17" s="153"/>
      <c r="AE17" s="153"/>
      <c r="AF17" s="143"/>
      <c r="AG17" s="155"/>
      <c r="AH17" s="147" t="s">
        <v>26</v>
      </c>
      <c r="AI17" s="146" t="s">
        <v>69</v>
      </c>
      <c r="AJ17" s="146" t="s">
        <v>1093</v>
      </c>
      <c r="AK17" s="146" t="s">
        <v>21</v>
      </c>
      <c r="AL17" s="143" t="s">
        <v>43</v>
      </c>
      <c r="AM17" s="143"/>
      <c r="AN17" s="143"/>
      <c r="AO17" s="143"/>
      <c r="AP17" s="152" t="s">
        <v>26</v>
      </c>
      <c r="AQ17" s="153" t="s">
        <v>37</v>
      </c>
      <c r="AR17" s="148" t="s">
        <v>1094</v>
      </c>
      <c r="AS17" s="148" t="s">
        <v>1094</v>
      </c>
      <c r="AT17" s="148" t="s">
        <v>1094</v>
      </c>
      <c r="AU17" s="154">
        <v>0</v>
      </c>
      <c r="AV17" s="153" t="s">
        <v>114</v>
      </c>
      <c r="AW17" s="153" t="s">
        <v>114</v>
      </c>
      <c r="AX17" s="153" t="s">
        <v>114</v>
      </c>
      <c r="AY17" s="153" t="s">
        <v>114</v>
      </c>
      <c r="AZ17" s="148" t="s">
        <v>1095</v>
      </c>
      <c r="BA17" s="154" t="s">
        <v>1095</v>
      </c>
      <c r="BB17" s="152" t="s">
        <v>114</v>
      </c>
      <c r="BC17" s="153" t="s">
        <v>114</v>
      </c>
      <c r="BD17" s="153" t="s">
        <v>114</v>
      </c>
      <c r="BE17" s="157" t="s">
        <v>114</v>
      </c>
      <c r="BF17" s="157">
        <v>100000</v>
      </c>
      <c r="BG17" s="157"/>
      <c r="BH17" s="155"/>
      <c r="BI17" s="152" t="s">
        <v>920</v>
      </c>
      <c r="BJ17" s="153" t="s">
        <v>920</v>
      </c>
      <c r="BK17" s="153" t="s">
        <v>920</v>
      </c>
      <c r="BL17" s="153" t="s">
        <v>920</v>
      </c>
      <c r="BM17" s="153">
        <v>102549</v>
      </c>
      <c r="BN17" s="154">
        <f>SUMIF(BI17:BM17,"&gt;0",BI17:BM17)</f>
        <v>102549</v>
      </c>
      <c r="BO17" s="156"/>
      <c r="BP17" s="148"/>
      <c r="BQ17" s="153"/>
      <c r="BR17" s="153"/>
      <c r="BS17" s="152" t="s">
        <v>1096</v>
      </c>
      <c r="BT17" s="148" t="s">
        <v>1096</v>
      </c>
      <c r="BU17" s="148" t="s">
        <v>1096</v>
      </c>
      <c r="BV17" s="148" t="s">
        <v>1096</v>
      </c>
      <c r="BW17" s="148" t="s">
        <v>1096</v>
      </c>
      <c r="BX17" s="154">
        <f>SUM(BS17:BW17)</f>
        <v>0</v>
      </c>
      <c r="BY17" s="143" t="e">
        <f>BI17/BS17</f>
        <v>#VALUE!</v>
      </c>
      <c r="BZ17" s="143" t="e">
        <f>BJ17/BT17</f>
        <v>#VALUE!</v>
      </c>
      <c r="CA17" s="143" t="e">
        <f>BK17/BU17</f>
        <v>#VALUE!</v>
      </c>
      <c r="CB17" s="143" t="e">
        <f>BL17/BV17</f>
        <v>#VALUE!</v>
      </c>
      <c r="CC17" s="143" t="e">
        <f>BM17/BW17</f>
        <v>#VALUE!</v>
      </c>
      <c r="CD17" s="155" t="e">
        <f>AVERAGE(BY17:CC17)</f>
        <v>#VALUE!</v>
      </c>
    </row>
    <row r="18" spans="1:82" ht="14.5">
      <c r="A18" s="143" t="s">
        <v>335</v>
      </c>
      <c r="B18" s="143"/>
      <c r="C18" s="144" t="s">
        <v>1178</v>
      </c>
      <c r="D18" s="144" t="s">
        <v>1179</v>
      </c>
      <c r="E18" s="145" t="s">
        <v>1180</v>
      </c>
      <c r="F18" s="143" t="str">
        <f>SUBSTITUTE(E18," ","")</f>
        <v>61103902389</v>
      </c>
      <c r="G18" s="143" t="s">
        <v>1181</v>
      </c>
      <c r="H18" s="143" t="s">
        <v>53</v>
      </c>
      <c r="I18" s="143">
        <v>4741</v>
      </c>
      <c r="J18" s="143">
        <v>-21.969722000000001</v>
      </c>
      <c r="K18" s="143">
        <v>148.24250000000001</v>
      </c>
      <c r="L18" s="143">
        <v>2006</v>
      </c>
      <c r="M18" s="143">
        <v>16</v>
      </c>
      <c r="N18" s="143">
        <v>2031</v>
      </c>
      <c r="O18" s="143"/>
      <c r="P18" s="143"/>
      <c r="Q18" s="143" t="s">
        <v>29</v>
      </c>
      <c r="R18" s="143" t="s">
        <v>29</v>
      </c>
      <c r="S18" s="147"/>
      <c r="T18" s="143"/>
      <c r="U18" s="143"/>
      <c r="V18" s="143"/>
      <c r="W18" s="143"/>
      <c r="X18" s="143"/>
      <c r="Y18" s="143"/>
      <c r="Z18" s="143"/>
      <c r="AA18" s="143"/>
      <c r="AB18" s="143"/>
      <c r="AC18" s="143"/>
      <c r="AD18" s="153"/>
      <c r="AE18" s="153"/>
      <c r="AF18" s="143"/>
      <c r="AG18" s="155"/>
      <c r="AH18" s="147" t="s">
        <v>26</v>
      </c>
      <c r="AI18" s="146" t="s">
        <v>56</v>
      </c>
      <c r="AJ18" s="146" t="s">
        <v>1182</v>
      </c>
      <c r="AK18" s="146" t="s">
        <v>33</v>
      </c>
      <c r="AL18" s="143" t="s">
        <v>43</v>
      </c>
      <c r="AM18" s="143" t="s">
        <v>27</v>
      </c>
      <c r="AN18" s="143">
        <v>3.1</v>
      </c>
      <c r="AO18" s="143"/>
      <c r="AP18" s="152"/>
      <c r="AQ18" s="153"/>
      <c r="AR18" s="153"/>
      <c r="AS18" s="153"/>
      <c r="AT18" s="153"/>
      <c r="AU18" s="154"/>
      <c r="AV18" s="153" t="s">
        <v>1028</v>
      </c>
      <c r="AW18" s="153" t="s">
        <v>106</v>
      </c>
      <c r="AX18" s="153" t="s">
        <v>106</v>
      </c>
      <c r="AY18" s="153" t="s">
        <v>106</v>
      </c>
      <c r="AZ18" s="153" t="s">
        <v>106</v>
      </c>
      <c r="BA18" s="154" t="s">
        <v>114</v>
      </c>
      <c r="BB18" s="152">
        <v>769935</v>
      </c>
      <c r="BC18" s="153">
        <v>769935</v>
      </c>
      <c r="BD18" s="153">
        <v>769935</v>
      </c>
      <c r="BE18" s="157">
        <v>769935</v>
      </c>
      <c r="BF18" s="157">
        <v>850080</v>
      </c>
      <c r="BG18" s="157"/>
      <c r="BH18" s="155"/>
      <c r="BI18" s="152">
        <v>201008</v>
      </c>
      <c r="BJ18" s="153">
        <v>185073</v>
      </c>
      <c r="BK18" s="153">
        <v>408435</v>
      </c>
      <c r="BL18" s="153">
        <v>656281</v>
      </c>
      <c r="BM18" s="153">
        <v>708618</v>
      </c>
      <c r="BN18" s="154">
        <f>SUMIF(BI18:BM18,"&gt;0",BI18:BM18)</f>
        <v>2159415</v>
      </c>
      <c r="BO18" s="156"/>
      <c r="BP18" s="148"/>
      <c r="BQ18" s="153"/>
      <c r="BR18" s="153"/>
      <c r="BS18" s="152">
        <v>2726000</v>
      </c>
      <c r="BT18" s="148">
        <v>2696000</v>
      </c>
      <c r="BU18" s="148">
        <v>2769000</v>
      </c>
      <c r="BV18" s="148">
        <v>2795000</v>
      </c>
      <c r="BW18" s="148">
        <v>4454000</v>
      </c>
      <c r="BX18" s="154">
        <f>SUM(BS18:BW18)</f>
        <v>15440000</v>
      </c>
      <c r="BY18" s="143">
        <f>BI18/BS18</f>
        <v>7.3737344093910487E-2</v>
      </c>
      <c r="BZ18" s="143">
        <f>BJ18/BT18</f>
        <v>6.8647255192878343E-2</v>
      </c>
      <c r="CA18" s="143">
        <f>BK18/BU18</f>
        <v>0.1475027085590466</v>
      </c>
      <c r="CB18" s="143">
        <f>BL18/BV18</f>
        <v>0.23480536672629695</v>
      </c>
      <c r="CC18" s="143">
        <f>BM18/BW18</f>
        <v>0.15909699146834305</v>
      </c>
      <c r="CD18" s="155">
        <f>AVERAGE(BY18:CC18)</f>
        <v>0.13675793320809509</v>
      </c>
    </row>
    <row r="19" spans="1:82" ht="14.5">
      <c r="A19" s="143" t="s">
        <v>530</v>
      </c>
      <c r="B19" s="143" t="s">
        <v>805</v>
      </c>
      <c r="C19" s="144" t="s">
        <v>1844</v>
      </c>
      <c r="D19" s="144" t="s">
        <v>1845</v>
      </c>
      <c r="E19" s="145" t="s">
        <v>1846</v>
      </c>
      <c r="F19" s="143" t="str">
        <f>SUBSTITUTE(E19," ","")</f>
        <v>40004201307</v>
      </c>
      <c r="G19" s="143" t="s">
        <v>1847</v>
      </c>
      <c r="H19" s="143" t="s">
        <v>53</v>
      </c>
      <c r="I19" s="143">
        <v>4178</v>
      </c>
      <c r="J19" s="143">
        <v>-27.408480000000001</v>
      </c>
      <c r="K19" s="143">
        <v>153.154078</v>
      </c>
      <c r="L19" s="143">
        <v>1965</v>
      </c>
      <c r="M19" s="143">
        <v>57</v>
      </c>
      <c r="N19" s="143">
        <v>0</v>
      </c>
      <c r="O19" s="143"/>
      <c r="P19" s="143"/>
      <c r="Q19" s="143" t="s">
        <v>119</v>
      </c>
      <c r="R19" s="143" t="s">
        <v>58</v>
      </c>
      <c r="S19" s="147"/>
      <c r="T19" s="143"/>
      <c r="U19" s="143"/>
      <c r="V19" s="143"/>
      <c r="W19" s="143"/>
      <c r="X19" s="143"/>
      <c r="Y19" s="143"/>
      <c r="Z19" s="143"/>
      <c r="AA19" s="143"/>
      <c r="AB19" s="143"/>
      <c r="AC19" s="143"/>
      <c r="AD19" s="153"/>
      <c r="AE19" s="153"/>
      <c r="AF19" s="143"/>
      <c r="AG19" s="155"/>
      <c r="AH19" s="147" t="s">
        <v>26</v>
      </c>
      <c r="AI19" s="151" t="s">
        <v>76</v>
      </c>
      <c r="AJ19" s="146"/>
      <c r="AK19" s="146" t="s">
        <v>70</v>
      </c>
      <c r="AL19" s="151" t="s">
        <v>118</v>
      </c>
      <c r="AM19" s="143"/>
      <c r="AN19" s="143"/>
      <c r="AO19" s="143"/>
      <c r="AP19" s="152"/>
      <c r="AQ19" s="153"/>
      <c r="AR19" s="153"/>
      <c r="AS19" s="153"/>
      <c r="AT19" s="153"/>
      <c r="AU19" s="154"/>
      <c r="AV19" s="153" t="s">
        <v>41</v>
      </c>
      <c r="AW19" s="153" t="s">
        <v>41</v>
      </c>
      <c r="AX19" s="153" t="s">
        <v>41</v>
      </c>
      <c r="AY19" s="153" t="s">
        <v>41</v>
      </c>
      <c r="AZ19" s="153" t="s">
        <v>98</v>
      </c>
      <c r="BA19" s="154" t="s">
        <v>98</v>
      </c>
      <c r="BB19" s="152">
        <v>711162</v>
      </c>
      <c r="BC19" s="153">
        <v>711162</v>
      </c>
      <c r="BD19" s="153">
        <v>711162</v>
      </c>
      <c r="BE19" s="157">
        <v>711162</v>
      </c>
      <c r="BF19" s="157">
        <v>856595</v>
      </c>
      <c r="BG19" s="157"/>
      <c r="BH19" s="155"/>
      <c r="BI19" s="152">
        <v>708182</v>
      </c>
      <c r="BJ19" s="153">
        <v>710677</v>
      </c>
      <c r="BK19" s="153">
        <v>646846</v>
      </c>
      <c r="BL19" s="153">
        <v>561618</v>
      </c>
      <c r="BM19" s="153">
        <v>539067</v>
      </c>
      <c r="BN19" s="154">
        <f>SUMIF(BI19:BM19,"&gt;0",BI19:BM19)</f>
        <v>3166390</v>
      </c>
      <c r="BO19" s="156"/>
      <c r="BP19" s="148"/>
      <c r="BQ19" s="153"/>
      <c r="BR19" s="153"/>
      <c r="BS19" s="152"/>
      <c r="BT19" s="148"/>
      <c r="BU19" s="148"/>
      <c r="BV19" s="148"/>
      <c r="BW19" s="148"/>
      <c r="BX19" s="154">
        <f>SUM(BS19:BW19)</f>
        <v>0</v>
      </c>
      <c r="BY19" s="143"/>
      <c r="BZ19" s="143"/>
      <c r="CA19" s="143"/>
      <c r="CB19" s="143"/>
      <c r="CC19" s="143"/>
      <c r="CD19" s="155"/>
    </row>
    <row r="20" spans="1:82" ht="14.5">
      <c r="A20" s="143" t="s">
        <v>333</v>
      </c>
      <c r="B20" s="143" t="s">
        <v>1166</v>
      </c>
      <c r="C20" s="144" t="s">
        <v>640</v>
      </c>
      <c r="D20" s="144" t="s">
        <v>1167</v>
      </c>
      <c r="E20" s="145" t="s">
        <v>641</v>
      </c>
      <c r="F20" s="143" t="str">
        <f>SUBSTITUTE(E20," ","")</f>
        <v>73010037564</v>
      </c>
      <c r="G20" s="143" t="s">
        <v>1168</v>
      </c>
      <c r="H20" s="143" t="s">
        <v>53</v>
      </c>
      <c r="I20" s="143">
        <v>4746</v>
      </c>
      <c r="J20" s="143">
        <v>-22.953171000000001</v>
      </c>
      <c r="K20" s="143">
        <v>148.57109199999999</v>
      </c>
      <c r="L20" s="143">
        <v>1981</v>
      </c>
      <c r="M20" s="143">
        <v>41</v>
      </c>
      <c r="N20" s="143">
        <v>2038</v>
      </c>
      <c r="O20" s="143"/>
      <c r="P20" s="143"/>
      <c r="Q20" s="143" t="s">
        <v>29</v>
      </c>
      <c r="R20" s="143" t="s">
        <v>29</v>
      </c>
      <c r="S20" s="147" t="s">
        <v>612</v>
      </c>
      <c r="T20" s="143">
        <v>1</v>
      </c>
      <c r="U20" s="143" t="s">
        <v>1169</v>
      </c>
      <c r="V20" s="143" t="s">
        <v>1170</v>
      </c>
      <c r="W20" s="143" t="s">
        <v>1040</v>
      </c>
      <c r="X20" s="143" t="s">
        <v>1041</v>
      </c>
      <c r="Y20" s="143" t="s">
        <v>1171</v>
      </c>
      <c r="Z20" s="143" t="s">
        <v>1172</v>
      </c>
      <c r="AA20" s="143" t="s">
        <v>1173</v>
      </c>
      <c r="AB20" s="153">
        <v>0</v>
      </c>
      <c r="AC20" s="153" t="s">
        <v>1044</v>
      </c>
      <c r="AD20" s="153"/>
      <c r="AE20" s="153"/>
      <c r="AF20" s="143" t="s">
        <v>1072</v>
      </c>
      <c r="AG20" s="155" t="s">
        <v>1174</v>
      </c>
      <c r="AH20" s="147" t="s">
        <v>26</v>
      </c>
      <c r="AI20" s="146" t="s">
        <v>56</v>
      </c>
      <c r="AJ20" s="146" t="s">
        <v>1175</v>
      </c>
      <c r="AK20" s="146" t="s">
        <v>44</v>
      </c>
      <c r="AL20" s="143" t="s">
        <v>43</v>
      </c>
      <c r="AM20" s="143"/>
      <c r="AN20" s="143"/>
      <c r="AO20" s="143"/>
      <c r="AP20" s="152" t="s">
        <v>26</v>
      </c>
      <c r="AQ20" s="153" t="s">
        <v>26</v>
      </c>
      <c r="AR20" s="160" t="str">
        <f>IF(BF20&gt;(BC20*1.1),"yes","no")</f>
        <v>yes</v>
      </c>
      <c r="AS20" s="160" t="str">
        <f>IF(BM20&gt;(BJ20*1.1),"yes","no")</f>
        <v>yes</v>
      </c>
      <c r="AT20" s="160" t="str">
        <f>IF(BM20&gt;(BI20*1.1),"yes","no")</f>
        <v>yes</v>
      </c>
      <c r="AU20" s="154">
        <v>0</v>
      </c>
      <c r="AV20" s="153" t="s">
        <v>41</v>
      </c>
      <c r="AW20" s="153" t="s">
        <v>52</v>
      </c>
      <c r="AX20" s="153" t="s">
        <v>80</v>
      </c>
      <c r="AY20" s="153" t="s">
        <v>80</v>
      </c>
      <c r="AZ20" s="153" t="s">
        <v>80</v>
      </c>
      <c r="BA20" s="154" t="s">
        <v>73</v>
      </c>
      <c r="BB20" s="152">
        <v>1979964</v>
      </c>
      <c r="BC20" s="153">
        <v>1979964</v>
      </c>
      <c r="BD20" s="153">
        <v>2632896</v>
      </c>
      <c r="BE20" s="157">
        <v>2640109</v>
      </c>
      <c r="BF20" s="157">
        <v>4544066</v>
      </c>
      <c r="BG20" s="157"/>
      <c r="BH20" s="155"/>
      <c r="BI20" s="152">
        <v>2113068</v>
      </c>
      <c r="BJ20" s="153">
        <v>2148974</v>
      </c>
      <c r="BK20" s="153">
        <v>2795332</v>
      </c>
      <c r="BL20" s="153">
        <v>3149800</v>
      </c>
      <c r="BM20" s="153">
        <v>3245172</v>
      </c>
      <c r="BN20" s="154">
        <f>SUMIF(BI20:BM20,"&gt;0",BI20:BM20)</f>
        <v>13452346</v>
      </c>
      <c r="BO20" s="156"/>
      <c r="BP20" s="148"/>
      <c r="BQ20" s="153"/>
      <c r="BR20" s="153"/>
      <c r="BS20" s="152">
        <v>11573409</v>
      </c>
      <c r="BT20" s="148">
        <v>11959388</v>
      </c>
      <c r="BU20" s="148">
        <v>11813955</v>
      </c>
      <c r="BV20" s="148">
        <v>10961476</v>
      </c>
      <c r="BW20" s="148">
        <v>8913258</v>
      </c>
      <c r="BX20" s="154">
        <f>SUM(BS20:BW20)</f>
        <v>55221486</v>
      </c>
      <c r="BY20" s="143">
        <f>BI20/BS20</f>
        <v>0.18257956666009126</v>
      </c>
      <c r="BZ20" s="143">
        <f>BJ20/BT20</f>
        <v>0.17968929513784485</v>
      </c>
      <c r="CA20" s="143">
        <f>BK20/BU20</f>
        <v>0.23661271775624673</v>
      </c>
      <c r="CB20" s="143">
        <f>BL20/BV20</f>
        <v>0.28735181283980371</v>
      </c>
      <c r="CC20" s="143">
        <f>BM20/BW20</f>
        <v>0.3640837054194998</v>
      </c>
      <c r="CD20" s="155">
        <f>AVERAGE(BY20:CC20)</f>
        <v>0.25006341956269729</v>
      </c>
    </row>
    <row r="21" spans="1:82" ht="14.5">
      <c r="A21" s="143" t="s">
        <v>455</v>
      </c>
      <c r="B21" s="143" t="s">
        <v>1575</v>
      </c>
      <c r="C21" s="144" t="s">
        <v>697</v>
      </c>
      <c r="D21" s="144" t="s">
        <v>1167</v>
      </c>
      <c r="E21" s="145" t="s">
        <v>698</v>
      </c>
      <c r="F21" s="143" t="str">
        <f>SUBSTITUTE(E21," ","")</f>
        <v>14069603587</v>
      </c>
      <c r="G21" s="143" t="s">
        <v>454</v>
      </c>
      <c r="H21" s="143" t="s">
        <v>53</v>
      </c>
      <c r="I21" s="143">
        <v>4744</v>
      </c>
      <c r="J21" s="143">
        <v>-21.884557999999998</v>
      </c>
      <c r="K21" s="143">
        <v>147.96425300000001</v>
      </c>
      <c r="L21" s="143">
        <v>1998</v>
      </c>
      <c r="M21" s="143">
        <v>24</v>
      </c>
      <c r="N21" s="143">
        <v>2039</v>
      </c>
      <c r="O21" s="143"/>
      <c r="P21" s="143"/>
      <c r="Q21" s="143" t="s">
        <v>29</v>
      </c>
      <c r="R21" s="143" t="s">
        <v>29</v>
      </c>
      <c r="S21" s="147" t="s">
        <v>612</v>
      </c>
      <c r="T21" s="143">
        <v>1</v>
      </c>
      <c r="U21" s="143" t="s">
        <v>1576</v>
      </c>
      <c r="V21" s="143" t="s">
        <v>1577</v>
      </c>
      <c r="W21" s="143" t="s">
        <v>1397</v>
      </c>
      <c r="X21" s="143" t="s">
        <v>1041</v>
      </c>
      <c r="Y21" s="143" t="s">
        <v>1398</v>
      </c>
      <c r="Z21" s="143" t="s">
        <v>1578</v>
      </c>
      <c r="AA21" s="143" t="s">
        <v>1579</v>
      </c>
      <c r="AB21" s="153">
        <v>0</v>
      </c>
      <c r="AC21" s="153" t="s">
        <v>1044</v>
      </c>
      <c r="AD21" s="153"/>
      <c r="AE21" s="153"/>
      <c r="AF21" s="143" t="s">
        <v>1045</v>
      </c>
      <c r="AG21" s="155"/>
      <c r="AH21" s="147" t="s">
        <v>26</v>
      </c>
      <c r="AI21" s="146" t="s">
        <v>25</v>
      </c>
      <c r="AJ21" s="146" t="s">
        <v>1363</v>
      </c>
      <c r="AK21" s="146" t="s">
        <v>33</v>
      </c>
      <c r="AL21" s="143" t="s">
        <v>43</v>
      </c>
      <c r="AM21" s="143" t="s">
        <v>63</v>
      </c>
      <c r="AN21" s="143">
        <v>5.5</v>
      </c>
      <c r="AO21" s="143"/>
      <c r="AP21" s="152" t="s">
        <v>26</v>
      </c>
      <c r="AQ21" s="153" t="s">
        <v>26</v>
      </c>
      <c r="AR21" s="160" t="str">
        <f>IF(BF21&gt;(BC21*1.1),"yes","no")</f>
        <v>yes</v>
      </c>
      <c r="AS21" s="160" t="str">
        <f>IF(BM21&gt;(BJ21*1.1),"yes","no")</f>
        <v>no</v>
      </c>
      <c r="AT21" s="160" t="str">
        <f>IF(BM21&gt;(BI21*1.1),"yes","no")</f>
        <v>yes</v>
      </c>
      <c r="AU21" s="154">
        <v>0</v>
      </c>
      <c r="AV21" s="153" t="s">
        <v>92</v>
      </c>
      <c r="AW21" s="153" t="s">
        <v>30</v>
      </c>
      <c r="AX21" s="153" t="s">
        <v>30</v>
      </c>
      <c r="AY21" s="153" t="s">
        <v>30</v>
      </c>
      <c r="AZ21" s="153" t="s">
        <v>80</v>
      </c>
      <c r="BA21" s="154" t="s">
        <v>73</v>
      </c>
      <c r="BB21" s="152">
        <v>1359006</v>
      </c>
      <c r="BC21" s="153">
        <v>2232748</v>
      </c>
      <c r="BD21" s="153">
        <v>2232748</v>
      </c>
      <c r="BE21" s="157">
        <v>2238865</v>
      </c>
      <c r="BF21" s="157">
        <v>4533701</v>
      </c>
      <c r="BG21" s="157"/>
      <c r="BH21" s="155"/>
      <c r="BI21" s="152">
        <v>1359006</v>
      </c>
      <c r="BJ21" s="153">
        <v>2326261</v>
      </c>
      <c r="BK21" s="153">
        <v>1955239</v>
      </c>
      <c r="BL21" s="153">
        <v>2318893</v>
      </c>
      <c r="BM21" s="153">
        <v>2529216</v>
      </c>
      <c r="BN21" s="154">
        <f>SUMIF(BI21:BM21,"&gt;0",BI21:BM21)</f>
        <v>10488615</v>
      </c>
      <c r="BO21" s="156"/>
      <c r="BP21" s="148"/>
      <c r="BQ21" s="153"/>
      <c r="BR21" s="153"/>
      <c r="BS21" s="152">
        <v>6137841</v>
      </c>
      <c r="BT21" s="148">
        <v>7684091</v>
      </c>
      <c r="BU21" s="148">
        <v>8750000</v>
      </c>
      <c r="BV21" s="148">
        <v>5034432</v>
      </c>
      <c r="BW21" s="148">
        <v>3466704</v>
      </c>
      <c r="BX21" s="154">
        <f>SUM(BS21:BW21)</f>
        <v>31073068</v>
      </c>
      <c r="BY21" s="143">
        <f>BI21/BS21</f>
        <v>0.2214143377125605</v>
      </c>
      <c r="BZ21" s="143">
        <f>BJ21/BT21</f>
        <v>0.30273730490698247</v>
      </c>
      <c r="CA21" s="143">
        <f>BK21/BU21</f>
        <v>0.22345588571428571</v>
      </c>
      <c r="CB21" s="143">
        <f>BL21/BV21</f>
        <v>0.46060667817144019</v>
      </c>
      <c r="CC21" s="143">
        <f>BM21/BW21</f>
        <v>0.7295736815141991</v>
      </c>
      <c r="CD21" s="155">
        <f>AVERAGE(BY21:CC21)</f>
        <v>0.38755757760389359</v>
      </c>
    </row>
    <row r="22" spans="1:82" ht="14.5">
      <c r="A22" s="143" t="s">
        <v>405</v>
      </c>
      <c r="B22" s="143" t="s">
        <v>1392</v>
      </c>
      <c r="C22" s="144" t="s">
        <v>1393</v>
      </c>
      <c r="D22" s="144" t="s">
        <v>1167</v>
      </c>
      <c r="E22" s="145" t="s">
        <v>1394</v>
      </c>
      <c r="F22" s="143" t="str">
        <f>SUBSTITUTE(E22," ","")</f>
        <v>16153794122</v>
      </c>
      <c r="G22" s="143" t="s">
        <v>454</v>
      </c>
      <c r="H22" s="143" t="s">
        <v>53</v>
      </c>
      <c r="I22" s="143">
        <v>4744</v>
      </c>
      <c r="J22" s="143">
        <v>-21.9727</v>
      </c>
      <c r="K22" s="143">
        <v>148.012</v>
      </c>
      <c r="L22" s="143">
        <v>2016</v>
      </c>
      <c r="M22" s="143">
        <v>6</v>
      </c>
      <c r="N22" s="143">
        <v>2037</v>
      </c>
      <c r="O22" s="143" t="s">
        <v>35</v>
      </c>
      <c r="P22" s="173" t="s">
        <v>2079</v>
      </c>
      <c r="Q22" s="143" t="s">
        <v>29</v>
      </c>
      <c r="R22" s="143" t="s">
        <v>29</v>
      </c>
      <c r="S22" s="147" t="s">
        <v>612</v>
      </c>
      <c r="T22" s="143">
        <v>2</v>
      </c>
      <c r="U22" s="143" t="s">
        <v>1395</v>
      </c>
      <c r="V22" s="143" t="s">
        <v>1396</v>
      </c>
      <c r="W22" s="143" t="s">
        <v>1397</v>
      </c>
      <c r="X22" s="143" t="s">
        <v>1041</v>
      </c>
      <c r="Y22" s="143" t="s">
        <v>1398</v>
      </c>
      <c r="Z22" s="143" t="s">
        <v>1399</v>
      </c>
      <c r="AA22" s="143" t="s">
        <v>1400</v>
      </c>
      <c r="AB22" s="153">
        <f>354435+559593</f>
        <v>914028</v>
      </c>
      <c r="AC22" s="153" t="s">
        <v>1401</v>
      </c>
      <c r="AD22" s="153">
        <f>611913+740406</f>
        <v>1352319</v>
      </c>
      <c r="AE22" s="153">
        <f>268538+412785</f>
        <v>681323</v>
      </c>
      <c r="AF22" s="143" t="s">
        <v>1045</v>
      </c>
      <c r="AG22" s="155"/>
      <c r="AH22" s="147" t="s">
        <v>26</v>
      </c>
      <c r="AI22" s="146" t="s">
        <v>25</v>
      </c>
      <c r="AJ22" s="146" t="s">
        <v>1363</v>
      </c>
      <c r="AK22" s="146" t="s">
        <v>33</v>
      </c>
      <c r="AL22" s="143" t="s">
        <v>43</v>
      </c>
      <c r="AM22" s="143" t="s">
        <v>63</v>
      </c>
      <c r="AN22" s="143">
        <v>6</v>
      </c>
      <c r="AO22" s="143"/>
      <c r="AP22" s="152"/>
      <c r="AQ22" s="153"/>
      <c r="AR22" s="153"/>
      <c r="AS22" s="153"/>
      <c r="AT22" s="153"/>
      <c r="AU22" s="154"/>
      <c r="AV22" s="153" t="s">
        <v>59</v>
      </c>
      <c r="AW22" s="153" t="s">
        <v>59</v>
      </c>
      <c r="AX22" s="153" t="s">
        <v>59</v>
      </c>
      <c r="AY22" s="153" t="s">
        <v>59</v>
      </c>
      <c r="AZ22" s="153" t="s">
        <v>73</v>
      </c>
      <c r="BA22" s="154" t="s">
        <v>73</v>
      </c>
      <c r="BB22" s="152">
        <v>1390317</v>
      </c>
      <c r="BC22" s="153">
        <v>1390317</v>
      </c>
      <c r="BD22" s="153">
        <v>1390317</v>
      </c>
      <c r="BE22" s="157">
        <v>1390317</v>
      </c>
      <c r="BF22" s="157">
        <v>1767156</v>
      </c>
      <c r="BG22" s="157"/>
      <c r="BH22" s="155"/>
      <c r="BI22" s="152">
        <v>1020217</v>
      </c>
      <c r="BJ22" s="153">
        <v>1293993</v>
      </c>
      <c r="BK22" s="153">
        <v>1210677</v>
      </c>
      <c r="BL22" s="153">
        <v>1185349</v>
      </c>
      <c r="BM22" s="153">
        <f>348998+439896</f>
        <v>788894</v>
      </c>
      <c r="BN22" s="154">
        <f>SUMIF(BI22:BM22,"&gt;0",BI22:BM22)</f>
        <v>5499130</v>
      </c>
      <c r="BO22" s="156">
        <v>542470</v>
      </c>
      <c r="BP22" s="148">
        <v>542470</v>
      </c>
      <c r="BQ22" s="153">
        <v>542470</v>
      </c>
      <c r="BR22" s="153">
        <v>542470</v>
      </c>
      <c r="BS22" s="152">
        <v>2067000</v>
      </c>
      <c r="BT22" s="148">
        <v>3763500</v>
      </c>
      <c r="BU22" s="148">
        <v>4721900</v>
      </c>
      <c r="BV22" s="148">
        <v>1106300</v>
      </c>
      <c r="BW22" s="148">
        <v>71600</v>
      </c>
      <c r="BX22" s="154">
        <f>SUM(BS22:BW22)</f>
        <v>11730300</v>
      </c>
      <c r="BY22" s="143">
        <f>BI22/BS22</f>
        <v>0.49357377842283501</v>
      </c>
      <c r="BZ22" s="143">
        <f>BJ22/BT22</f>
        <v>0.34382702271821441</v>
      </c>
      <c r="CA22" s="143">
        <f>BK22/BU22</f>
        <v>0.25639615409051442</v>
      </c>
      <c r="CB22" s="143">
        <f>BL22/BV22</f>
        <v>1.0714534936274067</v>
      </c>
      <c r="CC22" s="143">
        <f>BM22/BW22</f>
        <v>11.018072625698323</v>
      </c>
      <c r="CD22" s="155">
        <f>AVERAGE(BY22:CC22)</f>
        <v>2.6366646149114588</v>
      </c>
    </row>
    <row r="23" spans="1:82" ht="14.5">
      <c r="A23" s="143" t="s">
        <v>364</v>
      </c>
      <c r="B23" s="143" t="s">
        <v>1252</v>
      </c>
      <c r="C23" s="144" t="s">
        <v>661</v>
      </c>
      <c r="D23" s="144" t="s">
        <v>1167</v>
      </c>
      <c r="E23" s="145" t="s">
        <v>662</v>
      </c>
      <c r="F23" s="143" t="str">
        <f>SUBSTITUTE(E23," ","")</f>
        <v>15006746701</v>
      </c>
      <c r="G23" s="143" t="s">
        <v>1253</v>
      </c>
      <c r="H23" s="143" t="s">
        <v>53</v>
      </c>
      <c r="I23" s="143">
        <v>4718</v>
      </c>
      <c r="J23" s="143">
        <v>-24.623438</v>
      </c>
      <c r="K23" s="143">
        <v>150.05108300000001</v>
      </c>
      <c r="L23" s="143">
        <v>1961</v>
      </c>
      <c r="M23" s="143">
        <v>61</v>
      </c>
      <c r="N23" s="143">
        <v>2037</v>
      </c>
      <c r="O23" s="143"/>
      <c r="P23" s="143"/>
      <c r="Q23" s="143" t="s">
        <v>29</v>
      </c>
      <c r="R23" s="143" t="s">
        <v>29</v>
      </c>
      <c r="S23" s="147"/>
      <c r="T23" s="143"/>
      <c r="U23" s="143"/>
      <c r="V23" s="143"/>
      <c r="W23" s="143"/>
      <c r="X23" s="143"/>
      <c r="Y23" s="143"/>
      <c r="Z23" s="143"/>
      <c r="AA23" s="143"/>
      <c r="AB23" s="143"/>
      <c r="AC23" s="143"/>
      <c r="AD23" s="153"/>
      <c r="AE23" s="153"/>
      <c r="AF23" s="143"/>
      <c r="AG23" s="155"/>
      <c r="AH23" s="147" t="s">
        <v>26</v>
      </c>
      <c r="AI23" s="146" t="s">
        <v>69</v>
      </c>
      <c r="AJ23" s="146" t="s">
        <v>1254</v>
      </c>
      <c r="AK23" s="146" t="s">
        <v>21</v>
      </c>
      <c r="AL23" s="143" t="s">
        <v>43</v>
      </c>
      <c r="AM23" s="143"/>
      <c r="AN23" s="143"/>
      <c r="AO23" s="143"/>
      <c r="AP23" s="152" t="s">
        <v>26</v>
      </c>
      <c r="AQ23" s="153" t="s">
        <v>37</v>
      </c>
      <c r="AR23" s="160" t="str">
        <f>IF(BF23&gt;(BE23*1.1),"yes","no")</f>
        <v>yes</v>
      </c>
      <c r="AS23" s="160" t="str">
        <f>IF(BM23&gt;(BJ23*1.1),"yes","no")</f>
        <v>yes</v>
      </c>
      <c r="AT23" s="160" t="str">
        <f>IF(BM23&gt;(BI23*1.1),"yes","no")</f>
        <v>no</v>
      </c>
      <c r="AU23" s="154">
        <v>0</v>
      </c>
      <c r="AV23" s="153" t="s">
        <v>1028</v>
      </c>
      <c r="AW23" s="153" t="s">
        <v>106</v>
      </c>
      <c r="AX23" s="153" t="s">
        <v>106</v>
      </c>
      <c r="AY23" s="153" t="s">
        <v>108</v>
      </c>
      <c r="AZ23" s="153" t="s">
        <v>80</v>
      </c>
      <c r="BA23" s="154" t="s">
        <v>80</v>
      </c>
      <c r="BB23" s="152">
        <v>546500</v>
      </c>
      <c r="BC23" s="153">
        <v>546500</v>
      </c>
      <c r="BD23" s="153">
        <v>546500</v>
      </c>
      <c r="BE23" s="157">
        <v>547997</v>
      </c>
      <c r="BF23" s="157">
        <v>743995</v>
      </c>
      <c r="BG23" s="157"/>
      <c r="BH23" s="155"/>
      <c r="BI23" s="152">
        <v>422986</v>
      </c>
      <c r="BJ23" s="153">
        <v>358677</v>
      </c>
      <c r="BK23" s="153">
        <v>445646</v>
      </c>
      <c r="BL23" s="153">
        <v>570556</v>
      </c>
      <c r="BM23" s="153">
        <v>435649</v>
      </c>
      <c r="BN23" s="154">
        <f>SUMIF(BI23:BM23,"&gt;0",BI23:BM23)</f>
        <v>2233514</v>
      </c>
      <c r="BO23" s="156"/>
      <c r="BP23" s="148"/>
      <c r="BQ23" s="153"/>
      <c r="BR23" s="153"/>
      <c r="BS23" s="152">
        <v>7416708</v>
      </c>
      <c r="BT23" s="148">
        <v>6626471</v>
      </c>
      <c r="BU23" s="148">
        <v>7661765</v>
      </c>
      <c r="BV23" s="148">
        <v>4762941</v>
      </c>
      <c r="BW23" s="148">
        <v>4870000</v>
      </c>
      <c r="BX23" s="154">
        <f>SUM(BS23:BW23)</f>
        <v>31337885</v>
      </c>
      <c r="BY23" s="143">
        <f>BI23/BS23</f>
        <v>5.703150238623389E-2</v>
      </c>
      <c r="BZ23" s="143">
        <f>BJ23/BT23</f>
        <v>5.4127906090587284E-2</v>
      </c>
      <c r="CA23" s="143">
        <f>BK23/BU23</f>
        <v>5.8164926749906844E-2</v>
      </c>
      <c r="CB23" s="143">
        <f>BL23/BV23</f>
        <v>0.11979069234743828</v>
      </c>
      <c r="CC23" s="143">
        <f>BM23/BW23</f>
        <v>8.9455646817248463E-2</v>
      </c>
      <c r="CD23" s="155">
        <f>AVERAGE(BY23:CC23)</f>
        <v>7.5714134878282963E-2</v>
      </c>
    </row>
    <row r="24" spans="1:82" ht="14.5">
      <c r="A24" s="143" t="s">
        <v>361</v>
      </c>
      <c r="B24" s="143" t="s">
        <v>1244</v>
      </c>
      <c r="C24" s="144" t="s">
        <v>1245</v>
      </c>
      <c r="D24" s="144" t="s">
        <v>1167</v>
      </c>
      <c r="E24" s="145" t="s">
        <v>1246</v>
      </c>
      <c r="F24" s="143" t="str">
        <f>SUBSTITUTE(E24," ","")</f>
        <v>62007377577</v>
      </c>
      <c r="G24" s="143" t="s">
        <v>1247</v>
      </c>
      <c r="H24" s="143" t="s">
        <v>31</v>
      </c>
      <c r="I24" s="143">
        <v>2333</v>
      </c>
      <c r="J24" s="143">
        <v>-32.197161999999999</v>
      </c>
      <c r="K24" s="143">
        <v>150.864743</v>
      </c>
      <c r="L24" s="143" t="s">
        <v>292</v>
      </c>
      <c r="M24" s="143" t="s">
        <v>292</v>
      </c>
      <c r="N24" s="143" t="s">
        <v>292</v>
      </c>
      <c r="O24" s="143"/>
      <c r="P24" s="143" t="s">
        <v>1248</v>
      </c>
      <c r="Q24" s="143" t="s">
        <v>29</v>
      </c>
      <c r="R24" s="143" t="s">
        <v>29</v>
      </c>
      <c r="S24" s="147"/>
      <c r="T24" s="143"/>
      <c r="U24" s="143"/>
      <c r="V24" s="143"/>
      <c r="W24" s="143"/>
      <c r="X24" s="143"/>
      <c r="Y24" s="143"/>
      <c r="Z24" s="143"/>
      <c r="AA24" s="143"/>
      <c r="AB24" s="143"/>
      <c r="AC24" s="143"/>
      <c r="AD24" s="153"/>
      <c r="AE24" s="153"/>
      <c r="AF24" s="143"/>
      <c r="AG24" s="155"/>
      <c r="AH24" s="147" t="s">
        <v>26</v>
      </c>
      <c r="AI24" s="146" t="s">
        <v>36</v>
      </c>
      <c r="AJ24" s="146" t="s">
        <v>1111</v>
      </c>
      <c r="AK24" s="146" t="s">
        <v>608</v>
      </c>
      <c r="AL24" s="143" t="s">
        <v>134</v>
      </c>
      <c r="AM24" s="143" t="s">
        <v>77</v>
      </c>
      <c r="AN24" s="143">
        <v>7.4</v>
      </c>
      <c r="AO24" s="143"/>
      <c r="AP24" s="152"/>
      <c r="AQ24" s="153"/>
      <c r="AR24" s="153"/>
      <c r="AS24" s="153"/>
      <c r="AT24" s="153"/>
      <c r="AU24" s="154"/>
      <c r="AV24" s="153" t="s">
        <v>106</v>
      </c>
      <c r="AW24" s="153" t="s">
        <v>106</v>
      </c>
      <c r="AX24" s="153" t="s">
        <v>106</v>
      </c>
      <c r="AY24" s="153" t="s">
        <v>106</v>
      </c>
      <c r="AZ24" s="153" t="s">
        <v>106</v>
      </c>
      <c r="BA24" s="154" t="s">
        <v>114</v>
      </c>
      <c r="BB24" s="152">
        <v>119137</v>
      </c>
      <c r="BC24" s="153">
        <v>119137</v>
      </c>
      <c r="BD24" s="153">
        <v>119137</v>
      </c>
      <c r="BE24" s="157">
        <v>119137</v>
      </c>
      <c r="BF24" s="157">
        <v>119137</v>
      </c>
      <c r="BG24" s="157"/>
      <c r="BH24" s="155"/>
      <c r="BI24" s="152" t="s">
        <v>920</v>
      </c>
      <c r="BJ24" s="153" t="s">
        <v>920</v>
      </c>
      <c r="BK24" s="153" t="s">
        <v>920</v>
      </c>
      <c r="BL24" s="153">
        <v>112089</v>
      </c>
      <c r="BM24" s="153" t="s">
        <v>920</v>
      </c>
      <c r="BN24" s="154">
        <f>SUMIF(BI24:BM24,"&gt;0",BI24:BM24)</f>
        <v>112089</v>
      </c>
      <c r="BO24" s="156"/>
      <c r="BP24" s="148"/>
      <c r="BQ24" s="153"/>
      <c r="BR24" s="153"/>
      <c r="BS24" s="152" t="s">
        <v>1185</v>
      </c>
      <c r="BT24" s="148" t="s">
        <v>1185</v>
      </c>
      <c r="BU24" s="148" t="s">
        <v>1185</v>
      </c>
      <c r="BV24" s="148" t="s">
        <v>1185</v>
      </c>
      <c r="BW24" s="148" t="s">
        <v>1185</v>
      </c>
      <c r="BX24" s="154">
        <f>SUM(BS24:BW24)</f>
        <v>0</v>
      </c>
      <c r="BY24" s="143" t="e">
        <f>BI24/BS24</f>
        <v>#VALUE!</v>
      </c>
      <c r="BZ24" s="143" t="e">
        <f>BJ24/BT24</f>
        <v>#VALUE!</v>
      </c>
      <c r="CA24" s="143" t="e">
        <f>BK24/BU24</f>
        <v>#VALUE!</v>
      </c>
      <c r="CB24" s="143" t="e">
        <f>BL24/BV24</f>
        <v>#VALUE!</v>
      </c>
      <c r="CC24" s="143" t="e">
        <f>BM24/BW24</f>
        <v>#VALUE!</v>
      </c>
      <c r="CD24" s="155" t="e">
        <f>AVERAGE(BY24:CC24)</f>
        <v>#VALUE!</v>
      </c>
    </row>
    <row r="25" spans="1:82" ht="14.5">
      <c r="A25" s="143" t="s">
        <v>343</v>
      </c>
      <c r="B25" s="143" t="s">
        <v>1166</v>
      </c>
      <c r="C25" s="144" t="s">
        <v>1199</v>
      </c>
      <c r="D25" s="144" t="s">
        <v>1167</v>
      </c>
      <c r="E25" s="145" t="s">
        <v>641</v>
      </c>
      <c r="F25" s="143" t="str">
        <f>SUBSTITUTE(E25," ","")</f>
        <v>73010037564</v>
      </c>
      <c r="G25" s="143" t="s">
        <v>1168</v>
      </c>
      <c r="H25" s="143" t="s">
        <v>53</v>
      </c>
      <c r="I25" s="143">
        <v>4746</v>
      </c>
      <c r="J25" s="143">
        <v>-22.953171000000001</v>
      </c>
      <c r="K25" s="143">
        <v>148.57109199999999</v>
      </c>
      <c r="L25" s="143" t="s">
        <v>292</v>
      </c>
      <c r="M25" s="143" t="s">
        <v>292</v>
      </c>
      <c r="N25" s="143" t="s">
        <v>292</v>
      </c>
      <c r="O25" s="143"/>
      <c r="P25" s="143"/>
      <c r="Q25" s="143" t="s">
        <v>29</v>
      </c>
      <c r="R25" s="143" t="s">
        <v>29</v>
      </c>
      <c r="S25" s="147"/>
      <c r="T25" s="143"/>
      <c r="U25" s="143"/>
      <c r="V25" s="143"/>
      <c r="W25" s="143"/>
      <c r="X25" s="143"/>
      <c r="Y25" s="143"/>
      <c r="Z25" s="143"/>
      <c r="AA25" s="143"/>
      <c r="AB25" s="143"/>
      <c r="AC25" s="143"/>
      <c r="AD25" s="153"/>
      <c r="AE25" s="153"/>
      <c r="AF25" s="143"/>
      <c r="AG25" s="155"/>
      <c r="AH25" s="147" t="s">
        <v>26</v>
      </c>
      <c r="AI25" s="146" t="s">
        <v>389</v>
      </c>
      <c r="AJ25" s="146"/>
      <c r="AK25" s="146" t="s">
        <v>292</v>
      </c>
      <c r="AL25" s="146" t="s">
        <v>43</v>
      </c>
      <c r="AM25" s="143"/>
      <c r="AN25" s="143"/>
      <c r="AO25" s="143"/>
      <c r="AP25" s="152"/>
      <c r="AQ25" s="153"/>
      <c r="AR25" s="153"/>
      <c r="AS25" s="153"/>
      <c r="AT25" s="153"/>
      <c r="AU25" s="154"/>
      <c r="AV25" s="153" t="s">
        <v>106</v>
      </c>
      <c r="AW25" s="153" t="s">
        <v>106</v>
      </c>
      <c r="AX25" s="153" t="s">
        <v>106</v>
      </c>
      <c r="AY25" s="153" t="s">
        <v>106</v>
      </c>
      <c r="AZ25" s="153" t="s">
        <v>106</v>
      </c>
      <c r="BA25" s="154" t="s">
        <v>114</v>
      </c>
      <c r="BB25" s="152">
        <v>100000</v>
      </c>
      <c r="BC25" s="153">
        <v>100000</v>
      </c>
      <c r="BD25" s="153">
        <v>100000</v>
      </c>
      <c r="BE25" s="153">
        <v>100000</v>
      </c>
      <c r="BF25" s="153">
        <v>100000</v>
      </c>
      <c r="BG25" s="157"/>
      <c r="BH25" s="155"/>
      <c r="BI25" s="152" t="s">
        <v>920</v>
      </c>
      <c r="BJ25" s="153" t="s">
        <v>920</v>
      </c>
      <c r="BK25" s="153" t="s">
        <v>920</v>
      </c>
      <c r="BL25" s="153" t="s">
        <v>920</v>
      </c>
      <c r="BM25" s="153" t="s">
        <v>920</v>
      </c>
      <c r="BN25" s="154">
        <f>SUMIF(BI25:BM25,"&gt;0",BI25:BM25)</f>
        <v>0</v>
      </c>
      <c r="BO25" s="156"/>
      <c r="BP25" s="148"/>
      <c r="BQ25" s="153"/>
      <c r="BR25" s="153"/>
      <c r="BS25" s="152" t="s">
        <v>1200</v>
      </c>
      <c r="BT25" s="148" t="s">
        <v>1200</v>
      </c>
      <c r="BU25" s="148" t="s">
        <v>1200</v>
      </c>
      <c r="BV25" s="148" t="s">
        <v>1200</v>
      </c>
      <c r="BW25" s="148" t="s">
        <v>1200</v>
      </c>
      <c r="BX25" s="154">
        <f>SUM(BS25:BW25)</f>
        <v>0</v>
      </c>
      <c r="BY25" s="143" t="e">
        <f>BI25/BS25</f>
        <v>#VALUE!</v>
      </c>
      <c r="BZ25" s="143" t="e">
        <f>BJ25/BT25</f>
        <v>#VALUE!</v>
      </c>
      <c r="CA25" s="143" t="e">
        <f>BK25/BU25</f>
        <v>#VALUE!</v>
      </c>
      <c r="CB25" s="143" t="e">
        <f>BL25/BV25</f>
        <v>#VALUE!</v>
      </c>
      <c r="CC25" s="143" t="e">
        <f>BM25/BW25</f>
        <v>#VALUE!</v>
      </c>
      <c r="CD25" s="155" t="e">
        <f>AVERAGE(BY25:CC25)</f>
        <v>#VALUE!</v>
      </c>
    </row>
    <row r="26" spans="1:82" ht="14.5">
      <c r="A26" s="143" t="s">
        <v>570</v>
      </c>
      <c r="B26" s="143"/>
      <c r="C26" s="144" t="s">
        <v>821</v>
      </c>
      <c r="D26" s="144" t="s">
        <v>1930</v>
      </c>
      <c r="E26" s="145" t="s">
        <v>822</v>
      </c>
      <c r="F26" s="143" t="str">
        <f>SUBSTITUTE(E26," ","")</f>
        <v>42008737424</v>
      </c>
      <c r="G26" s="143" t="s">
        <v>1972</v>
      </c>
      <c r="H26" s="143" t="s">
        <v>81</v>
      </c>
      <c r="I26" s="143">
        <v>6431</v>
      </c>
      <c r="J26" s="143">
        <v>-29.240368</v>
      </c>
      <c r="K26" s="143">
        <v>124.540442</v>
      </c>
      <c r="L26" s="143">
        <v>2012</v>
      </c>
      <c r="M26" s="143">
        <v>10</v>
      </c>
      <c r="N26" s="143">
        <v>2031</v>
      </c>
      <c r="O26" s="143"/>
      <c r="P26" s="143"/>
      <c r="Q26" s="143" t="s">
        <v>123</v>
      </c>
      <c r="R26" s="143" t="s">
        <v>79</v>
      </c>
      <c r="S26" s="147"/>
      <c r="T26" s="143"/>
      <c r="U26" s="143"/>
      <c r="V26" s="143"/>
      <c r="W26" s="143"/>
      <c r="X26" s="143"/>
      <c r="Y26" s="143"/>
      <c r="Z26" s="143"/>
      <c r="AA26" s="143"/>
      <c r="AB26" s="143"/>
      <c r="AC26" s="143"/>
      <c r="AD26" s="153"/>
      <c r="AE26" s="153"/>
      <c r="AF26" s="143"/>
      <c r="AG26" s="155"/>
      <c r="AH26" s="150" t="s">
        <v>37</v>
      </c>
      <c r="AI26" s="151" t="s">
        <v>76</v>
      </c>
      <c r="AJ26" s="151" t="s">
        <v>70</v>
      </c>
      <c r="AK26" s="151" t="s">
        <v>70</v>
      </c>
      <c r="AL26" s="151" t="s">
        <v>118</v>
      </c>
      <c r="AM26" s="151" t="s">
        <v>70</v>
      </c>
      <c r="AN26" s="151" t="s">
        <v>70</v>
      </c>
      <c r="AO26" s="151" t="s">
        <v>70</v>
      </c>
      <c r="AP26" s="152"/>
      <c r="AQ26" s="153"/>
      <c r="AR26" s="153"/>
      <c r="AS26" s="153"/>
      <c r="AT26" s="153"/>
      <c r="AU26" s="154"/>
      <c r="AV26" s="153" t="s">
        <v>59</v>
      </c>
      <c r="AW26" s="153" t="s">
        <v>59</v>
      </c>
      <c r="AX26" s="153" t="s">
        <v>59</v>
      </c>
      <c r="AY26" s="153" t="s">
        <v>73</v>
      </c>
      <c r="AZ26" s="153" t="s">
        <v>73</v>
      </c>
      <c r="BA26" s="154" t="s">
        <v>73</v>
      </c>
      <c r="BB26" s="152">
        <v>283693</v>
      </c>
      <c r="BC26" s="153">
        <v>283693</v>
      </c>
      <c r="BD26" s="153">
        <v>283693</v>
      </c>
      <c r="BE26" s="157">
        <v>323180</v>
      </c>
      <c r="BF26" s="157">
        <v>323180</v>
      </c>
      <c r="BG26" s="157"/>
      <c r="BH26" s="155"/>
      <c r="BI26" s="152">
        <v>239861</v>
      </c>
      <c r="BJ26" s="153">
        <v>253779</v>
      </c>
      <c r="BK26" s="153">
        <v>278020</v>
      </c>
      <c r="BL26" s="153">
        <v>306129</v>
      </c>
      <c r="BM26" s="153">
        <v>294418</v>
      </c>
      <c r="BN26" s="154">
        <f>SUMIF(BI26:BM26,"&gt;0",BI26:BM26)</f>
        <v>1372207</v>
      </c>
      <c r="BO26" s="156"/>
      <c r="BP26" s="148"/>
      <c r="BQ26" s="153"/>
      <c r="BR26" s="153"/>
      <c r="BS26" s="152"/>
      <c r="BT26" s="148"/>
      <c r="BU26" s="148"/>
      <c r="BV26" s="148"/>
      <c r="BW26" s="148"/>
      <c r="BX26" s="154">
        <f>SUM(BS26:BW26)</f>
        <v>0</v>
      </c>
      <c r="BY26" s="143"/>
      <c r="BZ26" s="143"/>
      <c r="CA26" s="143"/>
      <c r="CB26" s="143"/>
      <c r="CC26" s="143"/>
      <c r="CD26" s="155"/>
    </row>
    <row r="27" spans="1:82" ht="14.5">
      <c r="A27" s="143" t="s">
        <v>558</v>
      </c>
      <c r="B27" s="143"/>
      <c r="C27" s="144" t="s">
        <v>821</v>
      </c>
      <c r="D27" s="144" t="s">
        <v>1930</v>
      </c>
      <c r="E27" s="145" t="s">
        <v>822</v>
      </c>
      <c r="F27" s="143" t="str">
        <f>SUBSTITUTE(E27," ","")</f>
        <v>42008737424</v>
      </c>
      <c r="G27" s="143" t="s">
        <v>1379</v>
      </c>
      <c r="H27" s="143" t="s">
        <v>81</v>
      </c>
      <c r="I27" s="143">
        <v>6431</v>
      </c>
      <c r="J27" s="143">
        <v>-29.104721999999999</v>
      </c>
      <c r="K27" s="143">
        <v>122.852222</v>
      </c>
      <c r="L27" s="143">
        <v>1997</v>
      </c>
      <c r="M27" s="143">
        <v>25</v>
      </c>
      <c r="N27" s="143">
        <v>0</v>
      </c>
      <c r="O27" s="143"/>
      <c r="P27" s="143"/>
      <c r="Q27" s="143" t="s">
        <v>123</v>
      </c>
      <c r="R27" s="143" t="s">
        <v>79</v>
      </c>
      <c r="S27" s="147"/>
      <c r="T27" s="143"/>
      <c r="U27" s="143"/>
      <c r="V27" s="143"/>
      <c r="W27" s="143"/>
      <c r="X27" s="143"/>
      <c r="Y27" s="143"/>
      <c r="Z27" s="143"/>
      <c r="AA27" s="143"/>
      <c r="AB27" s="143"/>
      <c r="AC27" s="143"/>
      <c r="AD27" s="153"/>
      <c r="AE27" s="153"/>
      <c r="AF27" s="143"/>
      <c r="AG27" s="155"/>
      <c r="AH27" s="150" t="s">
        <v>37</v>
      </c>
      <c r="AI27" s="151" t="s">
        <v>76</v>
      </c>
      <c r="AJ27" s="151" t="s">
        <v>70</v>
      </c>
      <c r="AK27" s="151" t="s">
        <v>70</v>
      </c>
      <c r="AL27" s="151" t="s">
        <v>118</v>
      </c>
      <c r="AM27" s="151" t="s">
        <v>70</v>
      </c>
      <c r="AN27" s="151" t="s">
        <v>70</v>
      </c>
      <c r="AO27" s="151" t="s">
        <v>70</v>
      </c>
      <c r="AP27" s="152"/>
      <c r="AQ27" s="153"/>
      <c r="AR27" s="153"/>
      <c r="AS27" s="153"/>
      <c r="AT27" s="153"/>
      <c r="AU27" s="154"/>
      <c r="AV27" s="153" t="s">
        <v>1028</v>
      </c>
      <c r="AW27" s="153" t="s">
        <v>106</v>
      </c>
      <c r="AX27" s="153" t="s">
        <v>106</v>
      </c>
      <c r="AY27" s="153" t="s">
        <v>73</v>
      </c>
      <c r="AZ27" s="153" t="s">
        <v>73</v>
      </c>
      <c r="BA27" s="154" t="s">
        <v>73</v>
      </c>
      <c r="BB27" s="152">
        <v>146375</v>
      </c>
      <c r="BC27" s="153">
        <v>146375</v>
      </c>
      <c r="BD27" s="153">
        <v>146375</v>
      </c>
      <c r="BE27" s="157">
        <v>171958</v>
      </c>
      <c r="BF27" s="157">
        <v>171958</v>
      </c>
      <c r="BG27" s="157"/>
      <c r="BH27" s="155"/>
      <c r="BI27" s="152">
        <v>119170</v>
      </c>
      <c r="BJ27" s="153">
        <v>125845</v>
      </c>
      <c r="BK27" s="153">
        <v>147500</v>
      </c>
      <c r="BL27" s="153">
        <v>151592</v>
      </c>
      <c r="BM27" s="153">
        <v>163853</v>
      </c>
      <c r="BN27" s="154">
        <f>SUMIF(BI27:BM27,"&gt;0",BI27:BM27)</f>
        <v>707960</v>
      </c>
      <c r="BO27" s="156"/>
      <c r="BP27" s="148"/>
      <c r="BQ27" s="153"/>
      <c r="BR27" s="153"/>
      <c r="BS27" s="152"/>
      <c r="BT27" s="148"/>
      <c r="BU27" s="148"/>
      <c r="BV27" s="148"/>
      <c r="BW27" s="148"/>
      <c r="BX27" s="154">
        <f>SUM(BS27:BW27)</f>
        <v>0</v>
      </c>
      <c r="BY27" s="143"/>
      <c r="BZ27" s="143"/>
      <c r="CA27" s="143"/>
      <c r="CB27" s="143"/>
      <c r="CC27" s="143"/>
      <c r="CD27" s="155"/>
    </row>
    <row r="28" spans="1:82" ht="14.5">
      <c r="A28" s="143" t="s">
        <v>553</v>
      </c>
      <c r="B28" s="143" t="s">
        <v>2088</v>
      </c>
      <c r="C28" s="144" t="s">
        <v>815</v>
      </c>
      <c r="D28" s="144" t="s">
        <v>1361</v>
      </c>
      <c r="E28" s="145" t="s">
        <v>816</v>
      </c>
      <c r="F28" s="143" t="str">
        <f>SUBSTITUTE(E28," ","")</f>
        <v>67066656219</v>
      </c>
      <c r="G28" s="143"/>
      <c r="H28" s="143" t="s">
        <v>53</v>
      </c>
      <c r="I28" s="143"/>
      <c r="J28" s="143"/>
      <c r="K28" s="143"/>
      <c r="L28" s="143" t="s">
        <v>292</v>
      </c>
      <c r="M28" s="143" t="s">
        <v>292</v>
      </c>
      <c r="N28" s="143" t="s">
        <v>292</v>
      </c>
      <c r="O28" s="143"/>
      <c r="P28" s="143"/>
      <c r="Q28" s="143" t="s">
        <v>110</v>
      </c>
      <c r="R28" s="143" t="s">
        <v>58</v>
      </c>
      <c r="S28" s="147"/>
      <c r="T28" s="143"/>
      <c r="U28" s="143"/>
      <c r="V28" s="143"/>
      <c r="W28" s="143"/>
      <c r="X28" s="143"/>
      <c r="Y28" s="143"/>
      <c r="Z28" s="143"/>
      <c r="AA28" s="143"/>
      <c r="AB28" s="143"/>
      <c r="AC28" s="143"/>
      <c r="AD28" s="153"/>
      <c r="AE28" s="153"/>
      <c r="AF28" s="143"/>
      <c r="AG28" s="155"/>
      <c r="AH28" s="147" t="s">
        <v>26</v>
      </c>
      <c r="AI28" s="151" t="s">
        <v>76</v>
      </c>
      <c r="AJ28" s="146"/>
      <c r="AK28" s="146" t="s">
        <v>292</v>
      </c>
      <c r="AL28" s="146" t="s">
        <v>292</v>
      </c>
      <c r="AM28" s="143"/>
      <c r="AN28" s="143"/>
      <c r="AO28" s="143"/>
      <c r="AP28" s="152"/>
      <c r="AQ28" s="153"/>
      <c r="AR28" s="153"/>
      <c r="AS28" s="153"/>
      <c r="AT28" s="153"/>
      <c r="AU28" s="154"/>
      <c r="AV28" s="153" t="s">
        <v>41</v>
      </c>
      <c r="AW28" s="153" t="s">
        <v>41</v>
      </c>
      <c r="AX28" s="153" t="s">
        <v>41</v>
      </c>
      <c r="AY28" s="153" t="s">
        <v>41</v>
      </c>
      <c r="AZ28" s="153" t="s">
        <v>73</v>
      </c>
      <c r="BA28" s="154" t="s">
        <v>73</v>
      </c>
      <c r="BB28" s="152">
        <v>279284</v>
      </c>
      <c r="BC28" s="153">
        <v>279284</v>
      </c>
      <c r="BD28" s="153">
        <v>279284</v>
      </c>
      <c r="BE28" s="157">
        <v>279284</v>
      </c>
      <c r="BF28" s="157">
        <v>176381</v>
      </c>
      <c r="BG28" s="157"/>
      <c r="BH28" s="155"/>
      <c r="BI28" s="152">
        <v>130508</v>
      </c>
      <c r="BJ28" s="153">
        <v>119964</v>
      </c>
      <c r="BK28" s="153" t="s">
        <v>920</v>
      </c>
      <c r="BL28" s="153">
        <v>110950</v>
      </c>
      <c r="BM28" s="153">
        <v>129592</v>
      </c>
      <c r="BN28" s="154">
        <f>SUMIF(BI28:BM28,"&gt;0",BI28:BM28)</f>
        <v>491014</v>
      </c>
      <c r="BO28" s="156"/>
      <c r="BP28" s="148"/>
      <c r="BQ28" s="153"/>
      <c r="BR28" s="153"/>
      <c r="BS28" s="152"/>
      <c r="BT28" s="148"/>
      <c r="BU28" s="148"/>
      <c r="BV28" s="148"/>
      <c r="BW28" s="148"/>
      <c r="BX28" s="154">
        <f>SUM(BS28:BW28)</f>
        <v>0</v>
      </c>
      <c r="BY28" s="143"/>
      <c r="BZ28" s="143"/>
      <c r="CA28" s="143"/>
      <c r="CB28" s="143"/>
      <c r="CC28" s="143"/>
      <c r="CD28" s="155"/>
    </row>
    <row r="29" spans="1:82" ht="14.5">
      <c r="A29" s="143" t="s">
        <v>397</v>
      </c>
      <c r="B29" s="143" t="s">
        <v>1268</v>
      </c>
      <c r="C29" s="144" t="s">
        <v>690</v>
      </c>
      <c r="D29" s="144" t="s">
        <v>1361</v>
      </c>
      <c r="E29" s="145">
        <v>87004273241</v>
      </c>
      <c r="F29" s="143" t="str">
        <f>SUBSTITUTE(E29," ","")</f>
        <v>87004273241</v>
      </c>
      <c r="G29" s="143" t="s">
        <v>292</v>
      </c>
      <c r="H29" s="173" t="s">
        <v>81</v>
      </c>
      <c r="I29" s="143" t="s">
        <v>292</v>
      </c>
      <c r="J29" s="143" t="s">
        <v>292</v>
      </c>
      <c r="K29" s="143" t="s">
        <v>292</v>
      </c>
      <c r="L29" s="143" t="s">
        <v>292</v>
      </c>
      <c r="M29" s="143" t="s">
        <v>292</v>
      </c>
      <c r="N29" s="143" t="s">
        <v>292</v>
      </c>
      <c r="O29" s="143"/>
      <c r="P29" s="143"/>
      <c r="Q29" s="143" t="s">
        <v>110</v>
      </c>
      <c r="R29" s="143" t="s">
        <v>58</v>
      </c>
      <c r="S29" s="147"/>
      <c r="T29" s="143"/>
      <c r="U29" s="143"/>
      <c r="V29" s="143"/>
      <c r="W29" s="143"/>
      <c r="X29" s="143"/>
      <c r="Y29" s="143"/>
      <c r="Z29" s="143"/>
      <c r="AA29" s="143"/>
      <c r="AB29" s="143"/>
      <c r="AC29" s="143"/>
      <c r="AD29" s="153"/>
      <c r="AE29" s="153"/>
      <c r="AF29" s="143"/>
      <c r="AG29" s="155"/>
      <c r="AH29" s="147" t="s">
        <v>26</v>
      </c>
      <c r="AI29" s="151" t="s">
        <v>76</v>
      </c>
      <c r="AJ29" s="146"/>
      <c r="AK29" s="146" t="s">
        <v>292</v>
      </c>
      <c r="AL29" s="146" t="s">
        <v>292</v>
      </c>
      <c r="AM29" s="143"/>
      <c r="AN29" s="143"/>
      <c r="AO29" s="143"/>
      <c r="AP29" s="152" t="s">
        <v>26</v>
      </c>
      <c r="AQ29" s="153" t="s">
        <v>37</v>
      </c>
      <c r="AR29" s="160" t="str">
        <f>IF(BF29&gt;(BE29*1.1),"yes","no")</f>
        <v>yes</v>
      </c>
      <c r="AS29" s="160" t="str">
        <f>IF(BM29&gt;(BL29*1.1),"yes","no")</f>
        <v>no</v>
      </c>
      <c r="AT29" s="160" t="str">
        <f>IF(BM29&gt;(BL29*1.1),"yes","no")</f>
        <v>no</v>
      </c>
      <c r="AU29" s="154">
        <v>0</v>
      </c>
      <c r="AV29" s="153" t="s">
        <v>114</v>
      </c>
      <c r="AW29" s="153" t="s">
        <v>114</v>
      </c>
      <c r="AX29" s="153" t="s">
        <v>114</v>
      </c>
      <c r="AY29" s="148" t="s">
        <v>1095</v>
      </c>
      <c r="AZ29" s="153" t="s">
        <v>80</v>
      </c>
      <c r="BA29" s="154" t="s">
        <v>80</v>
      </c>
      <c r="BB29" s="152" t="s">
        <v>114</v>
      </c>
      <c r="BC29" s="153" t="s">
        <v>114</v>
      </c>
      <c r="BD29" s="153" t="s">
        <v>114</v>
      </c>
      <c r="BE29" s="157">
        <v>100274</v>
      </c>
      <c r="BF29" s="157">
        <v>147908</v>
      </c>
      <c r="BG29" s="157"/>
      <c r="BH29" s="155"/>
      <c r="BI29" s="152" t="s">
        <v>920</v>
      </c>
      <c r="BJ29" s="153" t="s">
        <v>920</v>
      </c>
      <c r="BK29" s="153" t="s">
        <v>920</v>
      </c>
      <c r="BL29" s="153">
        <v>113174</v>
      </c>
      <c r="BM29" s="153">
        <v>121535</v>
      </c>
      <c r="BN29" s="154">
        <f>SUMIF(BI29:BM29,"&gt;0",BI29:BM29)</f>
        <v>234709</v>
      </c>
      <c r="BO29" s="156"/>
      <c r="BP29" s="148"/>
      <c r="BQ29" s="153"/>
      <c r="BR29" s="153"/>
      <c r="BS29" s="152"/>
      <c r="BT29" s="148"/>
      <c r="BU29" s="148"/>
      <c r="BV29" s="148"/>
      <c r="BW29" s="148"/>
      <c r="BX29" s="154">
        <f>SUM(BS29:BW29)</f>
        <v>0</v>
      </c>
      <c r="BY29" s="143"/>
      <c r="BZ29" s="143"/>
      <c r="CA29" s="143"/>
      <c r="CB29" s="143"/>
      <c r="CC29" s="143"/>
      <c r="CD29" s="155"/>
    </row>
    <row r="30" spans="1:82" ht="14.5">
      <c r="A30" s="143" t="s">
        <v>566</v>
      </c>
      <c r="B30" s="143"/>
      <c r="C30" s="144"/>
      <c r="D30" s="144" t="s">
        <v>1962</v>
      </c>
      <c r="E30" s="145" t="s">
        <v>1963</v>
      </c>
      <c r="F30" s="143" t="str">
        <f>SUBSTITUTE(E30," ","")</f>
        <v>17114927507</v>
      </c>
      <c r="G30" s="143" t="s">
        <v>1241</v>
      </c>
      <c r="H30" s="143" t="s">
        <v>53</v>
      </c>
      <c r="I30" s="143">
        <v>4405</v>
      </c>
      <c r="J30" s="143">
        <v>-27.400694399999999</v>
      </c>
      <c r="K30" s="143">
        <v>151.11667199999999</v>
      </c>
      <c r="L30" s="143" t="s">
        <v>292</v>
      </c>
      <c r="M30" s="143" t="s">
        <v>292</v>
      </c>
      <c r="N30" s="143" t="s">
        <v>292</v>
      </c>
      <c r="O30" s="143"/>
      <c r="P30" s="143"/>
      <c r="Q30" s="143" t="s">
        <v>121</v>
      </c>
      <c r="R30" s="143" t="s">
        <v>58</v>
      </c>
      <c r="S30" s="147"/>
      <c r="T30" s="143"/>
      <c r="U30" s="143"/>
      <c r="V30" s="143"/>
      <c r="W30" s="143"/>
      <c r="X30" s="143"/>
      <c r="Y30" s="143"/>
      <c r="Z30" s="143"/>
      <c r="AA30" s="143"/>
      <c r="AB30" s="143"/>
      <c r="AC30" s="143"/>
      <c r="AD30" s="153"/>
      <c r="AE30" s="153"/>
      <c r="AF30" s="143"/>
      <c r="AG30" s="155"/>
      <c r="AH30" s="147" t="s">
        <v>26</v>
      </c>
      <c r="AI30" s="151" t="s">
        <v>76</v>
      </c>
      <c r="AJ30" s="146"/>
      <c r="AK30" s="146" t="s">
        <v>292</v>
      </c>
      <c r="AL30" s="146" t="s">
        <v>292</v>
      </c>
      <c r="AM30" s="143"/>
      <c r="AN30" s="143"/>
      <c r="AO30" s="143"/>
      <c r="AP30" s="152"/>
      <c r="AQ30" s="153"/>
      <c r="AR30" s="153"/>
      <c r="AS30" s="153"/>
      <c r="AT30" s="153"/>
      <c r="AU30" s="154"/>
      <c r="AV30" s="153" t="s">
        <v>106</v>
      </c>
      <c r="AW30" s="153" t="s">
        <v>106</v>
      </c>
      <c r="AX30" s="153" t="s">
        <v>106</v>
      </c>
      <c r="AY30" s="153" t="s">
        <v>106</v>
      </c>
      <c r="AZ30" s="153" t="s">
        <v>106</v>
      </c>
      <c r="BA30" s="154" t="s">
        <v>114</v>
      </c>
      <c r="BB30" s="152">
        <v>143038</v>
      </c>
      <c r="BC30" s="153">
        <v>143038</v>
      </c>
      <c r="BD30" s="153">
        <v>143038</v>
      </c>
      <c r="BE30" s="157">
        <v>143038</v>
      </c>
      <c r="BF30" s="153">
        <v>143038</v>
      </c>
      <c r="BG30" s="157"/>
      <c r="BH30" s="259"/>
      <c r="BI30" s="152" t="s">
        <v>920</v>
      </c>
      <c r="BJ30" s="153" t="s">
        <v>920</v>
      </c>
      <c r="BK30" s="153" t="s">
        <v>920</v>
      </c>
      <c r="BL30" s="153">
        <v>102228</v>
      </c>
      <c r="BM30" s="153" t="s">
        <v>920</v>
      </c>
      <c r="BN30" s="154">
        <f>SUMIF(BI30:BM30,"&gt;0",BI30:BM30)</f>
        <v>102228</v>
      </c>
      <c r="BO30" s="156"/>
      <c r="BP30" s="148"/>
      <c r="BQ30" s="153"/>
      <c r="BR30" s="153"/>
      <c r="BS30" s="152"/>
      <c r="BT30" s="148"/>
      <c r="BU30" s="148"/>
      <c r="BV30" s="148"/>
      <c r="BW30" s="148"/>
      <c r="BX30" s="154">
        <f>SUM(BS30:BW30)</f>
        <v>0</v>
      </c>
      <c r="BY30" s="143"/>
      <c r="BZ30" s="143"/>
      <c r="CA30" s="143"/>
      <c r="CB30" s="143"/>
      <c r="CC30" s="143"/>
      <c r="CD30" s="155"/>
    </row>
    <row r="31" spans="1:82" ht="14.5">
      <c r="A31" s="143" t="s">
        <v>359</v>
      </c>
      <c r="B31" s="143"/>
      <c r="C31" s="144" t="s">
        <v>658</v>
      </c>
      <c r="D31" s="144" t="s">
        <v>1240</v>
      </c>
      <c r="E31" s="145" t="s">
        <v>659</v>
      </c>
      <c r="F31" s="143" t="str">
        <f>SUBSTITUTE(E31," ","")</f>
        <v>99114927481</v>
      </c>
      <c r="G31" s="143" t="s">
        <v>1241</v>
      </c>
      <c r="H31" s="143" t="s">
        <v>53</v>
      </c>
      <c r="I31" s="143">
        <v>4405</v>
      </c>
      <c r="J31" s="143">
        <v>-27.096833</v>
      </c>
      <c r="K31" s="143">
        <v>150.93955</v>
      </c>
      <c r="L31" s="143" t="s">
        <v>292</v>
      </c>
      <c r="M31" s="143" t="s">
        <v>292</v>
      </c>
      <c r="N31" s="143" t="s">
        <v>292</v>
      </c>
      <c r="O31" s="143"/>
      <c r="P31" s="143"/>
      <c r="Q31" s="143" t="s">
        <v>121</v>
      </c>
      <c r="R31" s="143" t="s">
        <v>58</v>
      </c>
      <c r="S31" s="147"/>
      <c r="T31" s="143"/>
      <c r="U31" s="143"/>
      <c r="V31" s="143"/>
      <c r="W31" s="143"/>
      <c r="X31" s="143"/>
      <c r="Y31" s="143"/>
      <c r="Z31" s="143"/>
      <c r="AA31" s="143"/>
      <c r="AB31" s="143"/>
      <c r="AC31" s="143"/>
      <c r="AD31" s="153"/>
      <c r="AE31" s="153"/>
      <c r="AF31" s="143"/>
      <c r="AG31" s="155"/>
      <c r="AH31" s="147" t="s">
        <v>26</v>
      </c>
      <c r="AI31" s="151" t="s">
        <v>76</v>
      </c>
      <c r="AJ31" s="146"/>
      <c r="AK31" s="146" t="s">
        <v>292</v>
      </c>
      <c r="AL31" s="146" t="s">
        <v>292</v>
      </c>
      <c r="AM31" s="143"/>
      <c r="AN31" s="143"/>
      <c r="AO31" s="143"/>
      <c r="AP31" s="152"/>
      <c r="AQ31" s="153"/>
      <c r="AR31" s="153"/>
      <c r="AS31" s="153"/>
      <c r="AT31" s="153"/>
      <c r="AU31" s="154"/>
      <c r="AV31" s="153" t="s">
        <v>106</v>
      </c>
      <c r="AW31" s="153" t="s">
        <v>106</v>
      </c>
      <c r="AX31" s="153" t="s">
        <v>106</v>
      </c>
      <c r="AY31" s="153" t="s">
        <v>73</v>
      </c>
      <c r="AZ31" s="153" t="s">
        <v>73</v>
      </c>
      <c r="BA31" s="154" t="s">
        <v>73</v>
      </c>
      <c r="BB31" s="152">
        <v>126559</v>
      </c>
      <c r="BC31" s="153">
        <v>126559</v>
      </c>
      <c r="BD31" s="153">
        <v>126559</v>
      </c>
      <c r="BE31" s="157">
        <v>122650</v>
      </c>
      <c r="BF31" s="157">
        <v>122650</v>
      </c>
      <c r="BG31" s="157"/>
      <c r="BH31" s="155"/>
      <c r="BI31" s="152" t="s">
        <v>920</v>
      </c>
      <c r="BJ31" s="153">
        <v>111224</v>
      </c>
      <c r="BK31" s="153">
        <v>115027</v>
      </c>
      <c r="BL31" s="153">
        <v>105350</v>
      </c>
      <c r="BM31" s="153">
        <v>116417</v>
      </c>
      <c r="BN31" s="154">
        <f>SUMIF(BI31:BM31,"&gt;0",BI31:BM31)</f>
        <v>448018</v>
      </c>
      <c r="BO31" s="156"/>
      <c r="BP31" s="148"/>
      <c r="BQ31" s="153"/>
      <c r="BR31" s="153"/>
      <c r="BS31" s="152"/>
      <c r="BT31" s="148"/>
      <c r="BU31" s="148"/>
      <c r="BV31" s="148"/>
      <c r="BW31" s="148"/>
      <c r="BX31" s="154">
        <f>SUM(BS31:BW31)</f>
        <v>0</v>
      </c>
      <c r="BY31" s="143"/>
      <c r="BZ31" s="143"/>
      <c r="CA31" s="143"/>
      <c r="CB31" s="143"/>
      <c r="CC31" s="143"/>
      <c r="CD31" s="155"/>
    </row>
    <row r="32" spans="1:82" ht="14.5">
      <c r="A32" s="143" t="s">
        <v>303</v>
      </c>
      <c r="B32" s="143" t="s">
        <v>1061</v>
      </c>
      <c r="C32" s="144" t="s">
        <v>1062</v>
      </c>
      <c r="D32" s="144" t="s">
        <v>1063</v>
      </c>
      <c r="E32" s="145" t="s">
        <v>1064</v>
      </c>
      <c r="F32" s="143" t="str">
        <f>SUBSTITUTE(E32," ","")</f>
        <v>76151245779</v>
      </c>
      <c r="G32" s="143" t="s">
        <v>292</v>
      </c>
      <c r="H32" s="173" t="s">
        <v>81</v>
      </c>
      <c r="I32" s="143" t="s">
        <v>292</v>
      </c>
      <c r="J32" s="143" t="s">
        <v>292</v>
      </c>
      <c r="K32" s="143" t="s">
        <v>292</v>
      </c>
      <c r="L32" s="143" t="s">
        <v>292</v>
      </c>
      <c r="M32" s="143" t="s">
        <v>292</v>
      </c>
      <c r="N32" s="143" t="s">
        <v>292</v>
      </c>
      <c r="O32" s="143"/>
      <c r="P32" s="143"/>
      <c r="Q32" s="143" t="s">
        <v>110</v>
      </c>
      <c r="R32" s="143" t="s">
        <v>58</v>
      </c>
      <c r="S32" s="147"/>
      <c r="T32" s="143"/>
      <c r="U32" s="143"/>
      <c r="V32" s="143"/>
      <c r="W32" s="143"/>
      <c r="X32" s="143"/>
      <c r="Y32" s="143"/>
      <c r="Z32" s="143"/>
      <c r="AA32" s="143"/>
      <c r="AB32" s="143"/>
      <c r="AC32" s="143"/>
      <c r="AD32" s="153"/>
      <c r="AE32" s="153"/>
      <c r="AF32" s="143"/>
      <c r="AG32" s="155"/>
      <c r="AH32" s="147" t="s">
        <v>26</v>
      </c>
      <c r="AI32" s="151" t="s">
        <v>76</v>
      </c>
      <c r="AJ32" s="146"/>
      <c r="AK32" s="146" t="s">
        <v>292</v>
      </c>
      <c r="AL32" s="146" t="s">
        <v>292</v>
      </c>
      <c r="AM32" s="143"/>
      <c r="AN32" s="143"/>
      <c r="AO32" s="143"/>
      <c r="AP32" s="152"/>
      <c r="AQ32" s="153"/>
      <c r="AR32" s="153"/>
      <c r="AS32" s="153"/>
      <c r="AT32" s="153"/>
      <c r="AU32" s="154"/>
      <c r="AV32" s="153" t="s">
        <v>41</v>
      </c>
      <c r="AW32" s="153" t="s">
        <v>41</v>
      </c>
      <c r="AX32" s="153" t="s">
        <v>41</v>
      </c>
      <c r="AY32" s="153" t="s">
        <v>41</v>
      </c>
      <c r="AZ32" s="153" t="s">
        <v>98</v>
      </c>
      <c r="BA32" s="154" t="s">
        <v>98</v>
      </c>
      <c r="BB32" s="152">
        <v>159142</v>
      </c>
      <c r="BC32" s="153">
        <v>159142</v>
      </c>
      <c r="BD32" s="153">
        <v>159142</v>
      </c>
      <c r="BE32" s="157">
        <v>159142</v>
      </c>
      <c r="BF32" s="157">
        <v>144072</v>
      </c>
      <c r="BG32" s="157"/>
      <c r="BH32" s="155"/>
      <c r="BI32" s="152">
        <v>165165</v>
      </c>
      <c r="BJ32" s="153">
        <v>159734</v>
      </c>
      <c r="BK32" s="153">
        <v>166574</v>
      </c>
      <c r="BL32" s="153">
        <v>107412</v>
      </c>
      <c r="BM32" s="153">
        <v>114623</v>
      </c>
      <c r="BN32" s="154">
        <f>SUMIF(BI32:BM32,"&gt;0",BI32:BM32)</f>
        <v>713508</v>
      </c>
      <c r="BO32" s="156"/>
      <c r="BP32" s="148"/>
      <c r="BQ32" s="153"/>
      <c r="BR32" s="153"/>
      <c r="BS32" s="152"/>
      <c r="BT32" s="148"/>
      <c r="BU32" s="148"/>
      <c r="BV32" s="148"/>
      <c r="BW32" s="148"/>
      <c r="BX32" s="154">
        <f>SUM(BS32:BW32)</f>
        <v>0</v>
      </c>
      <c r="BY32" s="143"/>
      <c r="BZ32" s="143"/>
      <c r="CA32" s="143"/>
      <c r="CB32" s="143"/>
      <c r="CC32" s="143"/>
      <c r="CD32" s="155"/>
    </row>
    <row r="33" spans="1:82" ht="14.5">
      <c r="A33" s="143" t="s">
        <v>305</v>
      </c>
      <c r="B33" s="143"/>
      <c r="C33" s="144" t="s">
        <v>618</v>
      </c>
      <c r="D33" s="161" t="s">
        <v>1065</v>
      </c>
      <c r="E33" s="145" t="s">
        <v>619</v>
      </c>
      <c r="F33" s="143" t="str">
        <f>SUBSTITUTE(E33," ","")</f>
        <v>47564947264</v>
      </c>
      <c r="G33" s="143" t="s">
        <v>292</v>
      </c>
      <c r="H33" s="173" t="s">
        <v>53</v>
      </c>
      <c r="I33" s="143" t="s">
        <v>292</v>
      </c>
      <c r="J33" s="143" t="s">
        <v>292</v>
      </c>
      <c r="K33" s="143" t="s">
        <v>292</v>
      </c>
      <c r="L33" s="143" t="s">
        <v>292</v>
      </c>
      <c r="M33" s="143" t="s">
        <v>292</v>
      </c>
      <c r="N33" s="143" t="s">
        <v>292</v>
      </c>
      <c r="O33" s="143"/>
      <c r="P33" s="143"/>
      <c r="Q33" s="143" t="s">
        <v>278</v>
      </c>
      <c r="R33" s="143" t="s">
        <v>79</v>
      </c>
      <c r="S33" s="147" t="s">
        <v>612</v>
      </c>
      <c r="T33" s="143">
        <v>0.5</v>
      </c>
      <c r="U33" s="143" t="s">
        <v>1066</v>
      </c>
      <c r="V33" s="143" t="s">
        <v>1067</v>
      </c>
      <c r="W33" s="143" t="s">
        <v>1068</v>
      </c>
      <c r="X33" s="143" t="s">
        <v>1069</v>
      </c>
      <c r="Y33" s="143" t="s">
        <v>1070</v>
      </c>
      <c r="Z33" s="143" t="s">
        <v>1071</v>
      </c>
      <c r="AA33" s="162">
        <v>42075</v>
      </c>
      <c r="AB33" s="153">
        <v>0</v>
      </c>
      <c r="AC33" s="153" t="s">
        <v>1044</v>
      </c>
      <c r="AD33" s="153"/>
      <c r="AE33" s="153"/>
      <c r="AF33" s="143" t="s">
        <v>1072</v>
      </c>
      <c r="AG33" s="155" t="s">
        <v>1073</v>
      </c>
      <c r="AH33" s="147" t="s">
        <v>48</v>
      </c>
      <c r="AI33" s="151" t="s">
        <v>76</v>
      </c>
      <c r="AJ33" s="146"/>
      <c r="AK33" s="146" t="s">
        <v>70</v>
      </c>
      <c r="AL33" s="146" t="s">
        <v>118</v>
      </c>
      <c r="AM33" s="143"/>
      <c r="AN33" s="143"/>
      <c r="AO33" s="143"/>
      <c r="AP33" s="152"/>
      <c r="AQ33" s="153"/>
      <c r="AR33" s="153"/>
      <c r="AS33" s="153"/>
      <c r="AT33" s="153"/>
      <c r="AU33" s="154"/>
      <c r="AV33" s="153" t="s">
        <v>1028</v>
      </c>
      <c r="AW33" s="153" t="s">
        <v>106</v>
      </c>
      <c r="AX33" s="153" t="s">
        <v>106</v>
      </c>
      <c r="AY33" s="153" t="s">
        <v>106</v>
      </c>
      <c r="AZ33" s="153" t="s">
        <v>106</v>
      </c>
      <c r="BA33" s="154" t="s">
        <v>98</v>
      </c>
      <c r="BB33" s="152">
        <v>418007</v>
      </c>
      <c r="BC33" s="153">
        <v>418007</v>
      </c>
      <c r="BD33" s="153">
        <v>418007</v>
      </c>
      <c r="BE33" s="157">
        <v>418007</v>
      </c>
      <c r="BF33" s="157">
        <v>417853</v>
      </c>
      <c r="BG33" s="157"/>
      <c r="BH33" s="155" t="s">
        <v>1021</v>
      </c>
      <c r="BI33" s="152">
        <v>167793</v>
      </c>
      <c r="BJ33" s="153">
        <v>164674</v>
      </c>
      <c r="BK33" s="153">
        <v>162100</v>
      </c>
      <c r="BL33" s="153">
        <v>159650</v>
      </c>
      <c r="BM33" s="153">
        <v>234875</v>
      </c>
      <c r="BN33" s="154">
        <f>SUMIF(BI33:BM33,"&gt;0",BI33:BM33)</f>
        <v>889092</v>
      </c>
      <c r="BO33" s="156"/>
      <c r="BP33" s="148"/>
      <c r="BQ33" s="153"/>
      <c r="BR33" s="153"/>
      <c r="BS33" s="152"/>
      <c r="BT33" s="148"/>
      <c r="BU33" s="148"/>
      <c r="BV33" s="148"/>
      <c r="BW33" s="148"/>
      <c r="BX33" s="154">
        <f>SUM(BS33:BW33)</f>
        <v>0</v>
      </c>
      <c r="BY33" s="143"/>
      <c r="BZ33" s="143"/>
      <c r="CA33" s="143"/>
      <c r="CB33" s="143"/>
      <c r="CC33" s="143"/>
      <c r="CD33" s="155"/>
    </row>
    <row r="34" spans="1:82" ht="14.5">
      <c r="A34" s="143" t="s">
        <v>306</v>
      </c>
      <c r="B34" s="143"/>
      <c r="C34" s="144" t="s">
        <v>618</v>
      </c>
      <c r="D34" s="161" t="s">
        <v>1065</v>
      </c>
      <c r="E34" s="145" t="s">
        <v>619</v>
      </c>
      <c r="F34" s="143" t="str">
        <f>SUBSTITUTE(E34," ","")</f>
        <v>47564947264</v>
      </c>
      <c r="G34" s="143" t="s">
        <v>292</v>
      </c>
      <c r="H34" s="173" t="s">
        <v>81</v>
      </c>
      <c r="I34" s="143" t="s">
        <v>292</v>
      </c>
      <c r="J34" s="143" t="s">
        <v>292</v>
      </c>
      <c r="K34" s="143" t="s">
        <v>292</v>
      </c>
      <c r="L34" s="143" t="s">
        <v>292</v>
      </c>
      <c r="M34" s="143" t="s">
        <v>292</v>
      </c>
      <c r="N34" s="143" t="s">
        <v>292</v>
      </c>
      <c r="O34" s="143"/>
      <c r="P34" s="143"/>
      <c r="Q34" s="143" t="s">
        <v>278</v>
      </c>
      <c r="R34" s="143" t="s">
        <v>79</v>
      </c>
      <c r="S34" s="147" t="s">
        <v>612</v>
      </c>
      <c r="T34" s="143">
        <v>0.5</v>
      </c>
      <c r="U34" s="143" t="s">
        <v>1066</v>
      </c>
      <c r="V34" s="143" t="s">
        <v>1067</v>
      </c>
      <c r="W34" s="143" t="s">
        <v>1068</v>
      </c>
      <c r="X34" s="143" t="s">
        <v>1069</v>
      </c>
      <c r="Y34" s="143" t="s">
        <v>1070</v>
      </c>
      <c r="Z34" s="143" t="s">
        <v>1071</v>
      </c>
      <c r="AA34" s="162">
        <v>42075</v>
      </c>
      <c r="AB34" s="153">
        <v>0</v>
      </c>
      <c r="AC34" s="153" t="s">
        <v>1044</v>
      </c>
      <c r="AD34" s="153"/>
      <c r="AE34" s="153"/>
      <c r="AF34" s="143" t="s">
        <v>1072</v>
      </c>
      <c r="AG34" s="155" t="s">
        <v>1073</v>
      </c>
      <c r="AH34" s="147" t="s">
        <v>48</v>
      </c>
      <c r="AI34" s="151" t="s">
        <v>76</v>
      </c>
      <c r="AJ34" s="146"/>
      <c r="AK34" s="146" t="s">
        <v>70</v>
      </c>
      <c r="AL34" s="146" t="s">
        <v>118</v>
      </c>
      <c r="AM34" s="143"/>
      <c r="AN34" s="143"/>
      <c r="AO34" s="143"/>
      <c r="AP34" s="152"/>
      <c r="AQ34" s="153"/>
      <c r="AR34" s="153"/>
      <c r="AS34" s="153"/>
      <c r="AT34" s="153"/>
      <c r="AU34" s="154"/>
      <c r="AV34" s="153" t="s">
        <v>1028</v>
      </c>
      <c r="AW34" s="153" t="s">
        <v>106</v>
      </c>
      <c r="AX34" s="153" t="s">
        <v>106</v>
      </c>
      <c r="AY34" s="153" t="s">
        <v>106</v>
      </c>
      <c r="AZ34" s="153" t="s">
        <v>106</v>
      </c>
      <c r="BA34" s="154" t="s">
        <v>98</v>
      </c>
      <c r="BB34" s="152">
        <v>216451</v>
      </c>
      <c r="BC34" s="153">
        <v>216451</v>
      </c>
      <c r="BD34" s="153">
        <v>216451</v>
      </c>
      <c r="BE34" s="157">
        <v>216451</v>
      </c>
      <c r="BF34" s="157">
        <v>216374</v>
      </c>
      <c r="BG34" s="157"/>
      <c r="BH34" s="155" t="s">
        <v>1074</v>
      </c>
      <c r="BI34" s="152">
        <v>169479</v>
      </c>
      <c r="BJ34" s="153">
        <v>160565</v>
      </c>
      <c r="BK34" s="153">
        <v>109861</v>
      </c>
      <c r="BL34" s="153">
        <v>119792</v>
      </c>
      <c r="BM34" s="153">
        <v>137340</v>
      </c>
      <c r="BN34" s="154">
        <f>SUMIF(BI34:BM34,"&gt;0",BI34:BM34)</f>
        <v>697037</v>
      </c>
      <c r="BO34" s="156"/>
      <c r="BP34" s="148"/>
      <c r="BQ34" s="153"/>
      <c r="BR34" s="153"/>
      <c r="BS34" s="152"/>
      <c r="BT34" s="148"/>
      <c r="BU34" s="148"/>
      <c r="BV34" s="148"/>
      <c r="BW34" s="148"/>
      <c r="BX34" s="154">
        <f>SUM(BS34:BW34)</f>
        <v>0</v>
      </c>
      <c r="BY34" s="143"/>
      <c r="BZ34" s="143"/>
      <c r="CA34" s="143"/>
      <c r="CB34" s="143"/>
      <c r="CC34" s="143"/>
      <c r="CD34" s="155"/>
    </row>
    <row r="35" spans="1:82" ht="14.5">
      <c r="A35" s="143" t="s">
        <v>304</v>
      </c>
      <c r="B35" s="143" t="s">
        <v>1017</v>
      </c>
      <c r="C35" s="144" t="s">
        <v>618</v>
      </c>
      <c r="D35" s="144" t="s">
        <v>1065</v>
      </c>
      <c r="E35" s="145" t="s">
        <v>619</v>
      </c>
      <c r="F35" s="143" t="str">
        <f>SUBSTITUTE(E35," ","")</f>
        <v>47564947264</v>
      </c>
      <c r="G35" s="143" t="s">
        <v>292</v>
      </c>
      <c r="H35" s="173" t="s">
        <v>31</v>
      </c>
      <c r="I35" s="143" t="s">
        <v>292</v>
      </c>
      <c r="J35" s="143" t="s">
        <v>292</v>
      </c>
      <c r="K35" s="143" t="s">
        <v>292</v>
      </c>
      <c r="L35" s="143" t="s">
        <v>292</v>
      </c>
      <c r="M35" s="143" t="s">
        <v>292</v>
      </c>
      <c r="N35" s="143" t="s">
        <v>292</v>
      </c>
      <c r="O35" s="143"/>
      <c r="P35" s="143"/>
      <c r="Q35" s="143" t="s">
        <v>278</v>
      </c>
      <c r="R35" s="143" t="s">
        <v>79</v>
      </c>
      <c r="S35" s="147"/>
      <c r="T35" s="143"/>
      <c r="U35" s="143"/>
      <c r="V35" s="143"/>
      <c r="W35" s="143"/>
      <c r="X35" s="143"/>
      <c r="Y35" s="143"/>
      <c r="Z35" s="143"/>
      <c r="AA35" s="143"/>
      <c r="AB35" s="143"/>
      <c r="AC35" s="143"/>
      <c r="AD35" s="153"/>
      <c r="AE35" s="153"/>
      <c r="AF35" s="143"/>
      <c r="AG35" s="155"/>
      <c r="AH35" s="147" t="s">
        <v>48</v>
      </c>
      <c r="AI35" s="151" t="s">
        <v>76</v>
      </c>
      <c r="AJ35" s="146"/>
      <c r="AK35" s="146" t="s">
        <v>70</v>
      </c>
      <c r="AL35" s="146" t="s">
        <v>118</v>
      </c>
      <c r="AM35" s="143"/>
      <c r="AN35" s="143"/>
      <c r="AO35" s="143"/>
      <c r="AP35" s="152"/>
      <c r="AQ35" s="153"/>
      <c r="AR35" s="153"/>
      <c r="AS35" s="153"/>
      <c r="AT35" s="153"/>
      <c r="AU35" s="154"/>
      <c r="AV35" s="153" t="s">
        <v>41</v>
      </c>
      <c r="AW35" s="153" t="s">
        <v>41</v>
      </c>
      <c r="AX35" s="153" t="s">
        <v>41</v>
      </c>
      <c r="AY35" s="153" t="s">
        <v>98</v>
      </c>
      <c r="AZ35" s="153" t="s">
        <v>98</v>
      </c>
      <c r="BA35" s="154" t="s">
        <v>98</v>
      </c>
      <c r="BB35" s="152">
        <v>134160</v>
      </c>
      <c r="BC35" s="153">
        <v>134160</v>
      </c>
      <c r="BD35" s="153">
        <v>134160</v>
      </c>
      <c r="BE35" s="157">
        <v>176261</v>
      </c>
      <c r="BF35" s="157">
        <v>166082</v>
      </c>
      <c r="BG35" s="157"/>
      <c r="BH35" s="155"/>
      <c r="BI35" s="152">
        <v>104248</v>
      </c>
      <c r="BJ35" s="153">
        <v>119522</v>
      </c>
      <c r="BK35" s="153">
        <v>122425</v>
      </c>
      <c r="BL35" s="153">
        <v>129378</v>
      </c>
      <c r="BM35" s="153">
        <v>122234</v>
      </c>
      <c r="BN35" s="154">
        <f>SUMIF(BI35:BM35,"&gt;0",BI35:BM35)</f>
        <v>597807</v>
      </c>
      <c r="BO35" s="156"/>
      <c r="BP35" s="148"/>
      <c r="BQ35" s="153"/>
      <c r="BR35" s="153"/>
      <c r="BS35" s="152"/>
      <c r="BT35" s="148"/>
      <c r="BU35" s="148"/>
      <c r="BV35" s="148"/>
      <c r="BW35" s="148"/>
      <c r="BX35" s="154">
        <f>SUM(BS35:BW35)</f>
        <v>0</v>
      </c>
      <c r="BY35" s="143"/>
      <c r="BZ35" s="143"/>
      <c r="CA35" s="143"/>
      <c r="CB35" s="143"/>
      <c r="CC35" s="143"/>
      <c r="CD35" s="155"/>
    </row>
    <row r="36" spans="1:82" ht="14.5">
      <c r="A36" s="143" t="s">
        <v>311</v>
      </c>
      <c r="B36" s="143" t="s">
        <v>1084</v>
      </c>
      <c r="C36" s="144" t="s">
        <v>1085</v>
      </c>
      <c r="D36" s="161" t="s">
        <v>1065</v>
      </c>
      <c r="E36" s="145" t="s">
        <v>1086</v>
      </c>
      <c r="F36" s="143" t="str">
        <f>SUBSTITUTE(E36," ","")</f>
        <v>39094792275</v>
      </c>
      <c r="G36" s="143" t="s">
        <v>292</v>
      </c>
      <c r="H36" s="173" t="s">
        <v>81</v>
      </c>
      <c r="I36" s="143" t="s">
        <v>292</v>
      </c>
      <c r="J36" s="143" t="s">
        <v>292</v>
      </c>
      <c r="K36" s="143" t="s">
        <v>292</v>
      </c>
      <c r="L36" s="143" t="s">
        <v>292</v>
      </c>
      <c r="M36" s="143" t="s">
        <v>292</v>
      </c>
      <c r="N36" s="143" t="s">
        <v>292</v>
      </c>
      <c r="O36" s="143"/>
      <c r="P36" s="143"/>
      <c r="Q36" s="143" t="s">
        <v>278</v>
      </c>
      <c r="R36" s="143" t="s">
        <v>79</v>
      </c>
      <c r="S36" s="147"/>
      <c r="T36" s="143"/>
      <c r="U36" s="143"/>
      <c r="V36" s="143"/>
      <c r="W36" s="143"/>
      <c r="X36" s="143"/>
      <c r="Y36" s="143"/>
      <c r="Z36" s="143"/>
      <c r="AA36" s="143"/>
      <c r="AB36" s="143"/>
      <c r="AC36" s="143"/>
      <c r="AD36" s="153"/>
      <c r="AE36" s="153"/>
      <c r="AF36" s="143"/>
      <c r="AG36" s="155"/>
      <c r="AH36" s="147" t="s">
        <v>48</v>
      </c>
      <c r="AI36" s="151" t="s">
        <v>76</v>
      </c>
      <c r="AJ36" s="146"/>
      <c r="AK36" s="146" t="s">
        <v>70</v>
      </c>
      <c r="AL36" s="146" t="s">
        <v>118</v>
      </c>
      <c r="AM36" s="143"/>
      <c r="AN36" s="143"/>
      <c r="AO36" s="143"/>
      <c r="AP36" s="152"/>
      <c r="AQ36" s="153"/>
      <c r="AR36" s="153"/>
      <c r="AS36" s="153"/>
      <c r="AT36" s="153"/>
      <c r="AU36" s="154"/>
      <c r="AV36" s="153" t="s">
        <v>117</v>
      </c>
      <c r="AW36" s="153" t="s">
        <v>117</v>
      </c>
      <c r="AX36" s="153" t="s">
        <v>117</v>
      </c>
      <c r="AY36" s="153" t="s">
        <v>117</v>
      </c>
      <c r="AZ36" s="153" t="s">
        <v>117</v>
      </c>
      <c r="BA36" s="154" t="s">
        <v>117</v>
      </c>
      <c r="BB36" s="152" t="s">
        <v>117</v>
      </c>
      <c r="BC36" s="153" t="s">
        <v>117</v>
      </c>
      <c r="BD36" s="153" t="s">
        <v>117</v>
      </c>
      <c r="BE36" s="153" t="s">
        <v>117</v>
      </c>
      <c r="BF36" s="153" t="s">
        <v>117</v>
      </c>
      <c r="BG36" s="153"/>
      <c r="BH36" s="155" t="s">
        <v>1087</v>
      </c>
      <c r="BI36" s="152" t="s">
        <v>117</v>
      </c>
      <c r="BJ36" s="153" t="s">
        <v>117</v>
      </c>
      <c r="BK36" s="153" t="s">
        <v>117</v>
      </c>
      <c r="BL36" s="153" t="s">
        <v>117</v>
      </c>
      <c r="BM36" s="153" t="s">
        <v>117</v>
      </c>
      <c r="BN36" s="154">
        <f>SUMIF(BI36:BM36,"&gt;0",BI36:BM36)</f>
        <v>0</v>
      </c>
      <c r="BO36" s="156" t="s">
        <v>117</v>
      </c>
      <c r="BP36" s="148" t="s">
        <v>117</v>
      </c>
      <c r="BQ36" s="153" t="s">
        <v>117</v>
      </c>
      <c r="BR36" s="153" t="s">
        <v>117</v>
      </c>
      <c r="BS36" s="152" t="s">
        <v>117</v>
      </c>
      <c r="BT36" s="148" t="s">
        <v>117</v>
      </c>
      <c r="BU36" s="148" t="s">
        <v>117</v>
      </c>
      <c r="BV36" s="148" t="s">
        <v>117</v>
      </c>
      <c r="BW36" s="148" t="s">
        <v>117</v>
      </c>
      <c r="BX36" s="154">
        <f>SUM(BS36:BW36)</f>
        <v>0</v>
      </c>
      <c r="BY36" s="143" t="s">
        <v>117</v>
      </c>
      <c r="BZ36" s="143" t="s">
        <v>117</v>
      </c>
      <c r="CA36" s="143" t="s">
        <v>117</v>
      </c>
      <c r="CB36" s="143" t="s">
        <v>117</v>
      </c>
      <c r="CC36" s="143" t="s">
        <v>117</v>
      </c>
      <c r="CD36" s="155" t="s">
        <v>117</v>
      </c>
    </row>
    <row r="37" spans="1:82" ht="14.5">
      <c r="A37" s="143" t="s">
        <v>516</v>
      </c>
      <c r="B37" s="143" t="s">
        <v>1017</v>
      </c>
      <c r="C37" s="144" t="s">
        <v>1785</v>
      </c>
      <c r="D37" s="144" t="s">
        <v>1786</v>
      </c>
      <c r="E37" s="145" t="s">
        <v>1787</v>
      </c>
      <c r="F37" s="143" t="str">
        <f>SUBSTITUTE(E37," ","")</f>
        <v>39098060550</v>
      </c>
      <c r="G37" s="143" t="s">
        <v>292</v>
      </c>
      <c r="H37" s="143" t="s">
        <v>53</v>
      </c>
      <c r="I37" s="143" t="s">
        <v>292</v>
      </c>
      <c r="J37" s="143" t="s">
        <v>292</v>
      </c>
      <c r="K37" s="143" t="s">
        <v>292</v>
      </c>
      <c r="L37" s="143" t="s">
        <v>292</v>
      </c>
      <c r="M37" s="143" t="s">
        <v>292</v>
      </c>
      <c r="N37" s="143" t="s">
        <v>292</v>
      </c>
      <c r="O37" s="143"/>
      <c r="P37" s="143"/>
      <c r="Q37" s="143" t="s">
        <v>278</v>
      </c>
      <c r="R37" s="143" t="s">
        <v>79</v>
      </c>
      <c r="S37" s="147"/>
      <c r="T37" s="143"/>
      <c r="U37" s="143"/>
      <c r="V37" s="143"/>
      <c r="W37" s="143"/>
      <c r="X37" s="143"/>
      <c r="Y37" s="143"/>
      <c r="Z37" s="143"/>
      <c r="AA37" s="143"/>
      <c r="AB37" s="143"/>
      <c r="AC37" s="143"/>
      <c r="AD37" s="153"/>
      <c r="AE37" s="153"/>
      <c r="AF37" s="143"/>
      <c r="AG37" s="155"/>
      <c r="AH37" s="147" t="s">
        <v>26</v>
      </c>
      <c r="AI37" s="151" t="s">
        <v>76</v>
      </c>
      <c r="AJ37" s="146"/>
      <c r="AK37" s="146" t="s">
        <v>70</v>
      </c>
      <c r="AL37" s="151" t="s">
        <v>118</v>
      </c>
      <c r="AM37" s="143"/>
      <c r="AN37" s="143"/>
      <c r="AO37" s="143"/>
      <c r="AP37" s="152"/>
      <c r="AQ37" s="153"/>
      <c r="AR37" s="153"/>
      <c r="AS37" s="153"/>
      <c r="AT37" s="153"/>
      <c r="AU37" s="154"/>
      <c r="AV37" s="153" t="s">
        <v>1028</v>
      </c>
      <c r="AW37" s="153" t="s">
        <v>106</v>
      </c>
      <c r="AX37" s="153" t="s">
        <v>106</v>
      </c>
      <c r="AY37" s="153" t="s">
        <v>106</v>
      </c>
      <c r="AZ37" s="153" t="s">
        <v>106</v>
      </c>
      <c r="BA37" s="154" t="s">
        <v>114</v>
      </c>
      <c r="BB37" s="152">
        <v>968119</v>
      </c>
      <c r="BC37" s="153">
        <v>968119</v>
      </c>
      <c r="BD37" s="153">
        <v>968119</v>
      </c>
      <c r="BE37" s="157">
        <v>968119</v>
      </c>
      <c r="BF37" s="157">
        <v>967777</v>
      </c>
      <c r="BG37" s="157"/>
      <c r="BH37" s="155"/>
      <c r="BI37" s="152">
        <v>893881</v>
      </c>
      <c r="BJ37" s="153">
        <v>919510</v>
      </c>
      <c r="BK37" s="153">
        <v>895071</v>
      </c>
      <c r="BL37" s="153">
        <v>916821</v>
      </c>
      <c r="BM37" s="153">
        <v>912770</v>
      </c>
      <c r="BN37" s="154">
        <f>SUMIF(BI37:BM37,"&gt;0",BI37:BM37)</f>
        <v>4538053</v>
      </c>
      <c r="BO37" s="156"/>
      <c r="BP37" s="148"/>
      <c r="BQ37" s="153"/>
      <c r="BR37" s="153"/>
      <c r="BS37" s="152"/>
      <c r="BT37" s="148"/>
      <c r="BU37" s="148"/>
      <c r="BV37" s="148"/>
      <c r="BW37" s="148"/>
      <c r="BX37" s="154">
        <f>SUM(BS37:BW37)</f>
        <v>0</v>
      </c>
      <c r="BY37" s="143"/>
      <c r="BZ37" s="143"/>
      <c r="CA37" s="143"/>
      <c r="CB37" s="143"/>
      <c r="CC37" s="143"/>
      <c r="CD37" s="155"/>
    </row>
    <row r="38" spans="1:82" ht="14.5">
      <c r="A38" s="143" t="s">
        <v>579</v>
      </c>
      <c r="B38" s="143" t="s">
        <v>1017</v>
      </c>
      <c r="C38" s="144" t="s">
        <v>835</v>
      </c>
      <c r="D38" s="144" t="s">
        <v>1990</v>
      </c>
      <c r="E38" s="145" t="s">
        <v>836</v>
      </c>
      <c r="F38" s="143" t="str">
        <f>SUBSTITUTE(E38," ","")</f>
        <v>54100686226</v>
      </c>
      <c r="G38" s="143" t="s">
        <v>292</v>
      </c>
      <c r="H38" s="143" t="s">
        <v>292</v>
      </c>
      <c r="I38" s="143" t="s">
        <v>292</v>
      </c>
      <c r="J38" s="143" t="s">
        <v>292</v>
      </c>
      <c r="K38" s="143" t="s">
        <v>292</v>
      </c>
      <c r="L38" s="143" t="s">
        <v>292</v>
      </c>
      <c r="M38" s="143" t="s">
        <v>292</v>
      </c>
      <c r="N38" s="143" t="s">
        <v>292</v>
      </c>
      <c r="O38" s="143"/>
      <c r="P38" s="143"/>
      <c r="Q38" s="143" t="s">
        <v>272</v>
      </c>
      <c r="R38" s="143" t="s">
        <v>79</v>
      </c>
      <c r="S38" s="147"/>
      <c r="T38" s="143"/>
      <c r="U38" s="143"/>
      <c r="V38" s="143"/>
      <c r="W38" s="143"/>
      <c r="X38" s="143"/>
      <c r="Y38" s="143"/>
      <c r="Z38" s="143"/>
      <c r="AA38" s="143"/>
      <c r="AB38" s="143"/>
      <c r="AC38" s="143"/>
      <c r="AD38" s="153"/>
      <c r="AE38" s="153"/>
      <c r="AF38" s="143"/>
      <c r="AG38" s="155"/>
      <c r="AH38" s="150" t="s">
        <v>37</v>
      </c>
      <c r="AI38" s="151" t="s">
        <v>76</v>
      </c>
      <c r="AJ38" s="151" t="s">
        <v>70</v>
      </c>
      <c r="AK38" s="151" t="s">
        <v>70</v>
      </c>
      <c r="AL38" s="151" t="s">
        <v>118</v>
      </c>
      <c r="AM38" s="151" t="s">
        <v>70</v>
      </c>
      <c r="AN38" s="151" t="s">
        <v>70</v>
      </c>
      <c r="AO38" s="151" t="s">
        <v>70</v>
      </c>
      <c r="AP38" s="152"/>
      <c r="AQ38" s="153"/>
      <c r="AR38" s="153"/>
      <c r="AS38" s="153"/>
      <c r="AT38" s="153"/>
      <c r="AU38" s="154"/>
      <c r="AV38" s="153" t="s">
        <v>41</v>
      </c>
      <c r="AW38" s="153" t="s">
        <v>41</v>
      </c>
      <c r="AX38" s="153" t="s">
        <v>41</v>
      </c>
      <c r="AY38" s="153" t="s">
        <v>41</v>
      </c>
      <c r="AZ38" s="153" t="s">
        <v>73</v>
      </c>
      <c r="BA38" s="154" t="s">
        <v>73</v>
      </c>
      <c r="BB38" s="152">
        <v>2821239</v>
      </c>
      <c r="BC38" s="153">
        <v>2821239</v>
      </c>
      <c r="BD38" s="153">
        <v>2821239</v>
      </c>
      <c r="BE38" s="157">
        <v>2821239</v>
      </c>
      <c r="BF38" s="157">
        <v>2397885</v>
      </c>
      <c r="BG38" s="157"/>
      <c r="BH38" s="155"/>
      <c r="BI38" s="152">
        <v>2688811</v>
      </c>
      <c r="BJ38" s="153">
        <v>2695280</v>
      </c>
      <c r="BK38" s="153">
        <v>2597936</v>
      </c>
      <c r="BL38" s="153">
        <v>1919212</v>
      </c>
      <c r="BM38" s="153">
        <v>845653</v>
      </c>
      <c r="BN38" s="154">
        <f>SUMIF(BI38:BM38,"&gt;0",BI38:BM38)</f>
        <v>10746892</v>
      </c>
      <c r="BO38" s="156"/>
      <c r="BP38" s="148"/>
      <c r="BQ38" s="153"/>
      <c r="BR38" s="153"/>
      <c r="BS38" s="152"/>
      <c r="BT38" s="148"/>
      <c r="BU38" s="148"/>
      <c r="BV38" s="148"/>
      <c r="BW38" s="148"/>
      <c r="BX38" s="154">
        <f>SUM(BS38:BW38)</f>
        <v>0</v>
      </c>
      <c r="BY38" s="143"/>
      <c r="BZ38" s="143"/>
      <c r="CA38" s="143"/>
      <c r="CB38" s="143"/>
      <c r="CC38" s="143"/>
      <c r="CD38" s="155"/>
    </row>
    <row r="39" spans="1:82" ht="14.5">
      <c r="A39" s="143" t="s">
        <v>436</v>
      </c>
      <c r="B39" s="143"/>
      <c r="C39" s="144" t="s">
        <v>726</v>
      </c>
      <c r="D39" s="144" t="s">
        <v>1513</v>
      </c>
      <c r="E39" s="145" t="s">
        <v>727</v>
      </c>
      <c r="F39" s="143" t="str">
        <f>SUBSTITUTE(E39," ","")</f>
        <v>74101508892</v>
      </c>
      <c r="G39" s="143" t="s">
        <v>1514</v>
      </c>
      <c r="H39" s="143" t="s">
        <v>31</v>
      </c>
      <c r="I39" s="143">
        <v>2264</v>
      </c>
      <c r="J39" s="143">
        <v>-33.118935</v>
      </c>
      <c r="K39" s="143">
        <v>151.463099</v>
      </c>
      <c r="L39" s="143">
        <v>2005</v>
      </c>
      <c r="M39" s="143">
        <v>17</v>
      </c>
      <c r="N39" s="143">
        <v>2032</v>
      </c>
      <c r="O39" s="143"/>
      <c r="P39" s="143"/>
      <c r="Q39" s="143" t="s">
        <v>29</v>
      </c>
      <c r="R39" s="143" t="s">
        <v>29</v>
      </c>
      <c r="S39" s="147" t="s">
        <v>612</v>
      </c>
      <c r="T39" s="143">
        <v>1</v>
      </c>
      <c r="U39" s="143" t="s">
        <v>1515</v>
      </c>
      <c r="V39" s="143" t="s">
        <v>1516</v>
      </c>
      <c r="W39" s="143" t="s">
        <v>1040</v>
      </c>
      <c r="X39" s="143" t="s">
        <v>1041</v>
      </c>
      <c r="Y39" s="143" t="s">
        <v>1517</v>
      </c>
      <c r="Z39" s="143" t="s">
        <v>1461</v>
      </c>
      <c r="AA39" s="143" t="s">
        <v>1518</v>
      </c>
      <c r="AB39" s="153">
        <v>0</v>
      </c>
      <c r="AC39" s="153" t="s">
        <v>1519</v>
      </c>
      <c r="AD39" s="153">
        <v>357500</v>
      </c>
      <c r="AE39" s="153">
        <v>60000</v>
      </c>
      <c r="AF39" s="143" t="s">
        <v>1045</v>
      </c>
      <c r="AG39" s="155" t="s">
        <v>1520</v>
      </c>
      <c r="AH39" s="147" t="s">
        <v>26</v>
      </c>
      <c r="AI39" s="146" t="s">
        <v>36</v>
      </c>
      <c r="AJ39" s="146" t="s">
        <v>1111</v>
      </c>
      <c r="AK39" s="146" t="s">
        <v>33</v>
      </c>
      <c r="AL39" s="143" t="s">
        <v>134</v>
      </c>
      <c r="AM39" s="143" t="s">
        <v>49</v>
      </c>
      <c r="AN39" s="143">
        <v>0</v>
      </c>
      <c r="AO39" s="143"/>
      <c r="AP39" s="152"/>
      <c r="AQ39" s="153"/>
      <c r="AR39" s="153"/>
      <c r="AS39" s="153"/>
      <c r="AT39" s="153"/>
      <c r="AU39" s="154"/>
      <c r="AV39" s="153" t="s">
        <v>92</v>
      </c>
      <c r="AW39" s="153" t="s">
        <v>18</v>
      </c>
      <c r="AX39" s="153" t="s">
        <v>18</v>
      </c>
      <c r="AY39" s="153" t="s">
        <v>18</v>
      </c>
      <c r="AZ39" s="153" t="s">
        <v>73</v>
      </c>
      <c r="BA39" s="154" t="s">
        <v>73</v>
      </c>
      <c r="BB39" s="152">
        <v>1560761</v>
      </c>
      <c r="BC39" s="153">
        <v>2013396</v>
      </c>
      <c r="BD39" s="153">
        <v>2013396</v>
      </c>
      <c r="BE39" s="157">
        <v>2013396</v>
      </c>
      <c r="BF39" s="157">
        <v>1443304</v>
      </c>
      <c r="BG39" s="157"/>
      <c r="BH39" s="155"/>
      <c r="BI39" s="152">
        <v>1560761</v>
      </c>
      <c r="BJ39" s="153">
        <v>1866089</v>
      </c>
      <c r="BK39" s="153">
        <v>1297870</v>
      </c>
      <c r="BL39" s="153">
        <v>1160613</v>
      </c>
      <c r="BM39" s="153">
        <v>1184162</v>
      </c>
      <c r="BN39" s="154">
        <f>SUMIF(BI39:BM39,"&gt;0",BI39:BM39)</f>
        <v>7069495</v>
      </c>
      <c r="BO39" s="156">
        <v>1706512</v>
      </c>
      <c r="BP39" s="148">
        <v>1706512</v>
      </c>
      <c r="BQ39" s="153">
        <v>1706512</v>
      </c>
      <c r="BR39" s="153">
        <v>1706512</v>
      </c>
      <c r="BS39" s="152">
        <v>5509194</v>
      </c>
      <c r="BT39" s="148">
        <v>5245292</v>
      </c>
      <c r="BU39" s="148">
        <v>3856216</v>
      </c>
      <c r="BV39" s="148">
        <v>5218463</v>
      </c>
      <c r="BW39" s="148">
        <v>3800677</v>
      </c>
      <c r="BX39" s="154">
        <f>SUM(BS39:BW39)</f>
        <v>23629842</v>
      </c>
      <c r="BY39" s="143">
        <f>BI39/BS39</f>
        <v>0.28330115076724471</v>
      </c>
      <c r="BZ39" s="143">
        <f>BJ39/BT39</f>
        <v>0.35576455991391898</v>
      </c>
      <c r="CA39" s="143">
        <f>BK39/BU39</f>
        <v>0.33656569030365519</v>
      </c>
      <c r="CB39" s="143">
        <f>BL39/BV39</f>
        <v>0.22240514113063559</v>
      </c>
      <c r="CC39" s="143">
        <f>BM39/BW39</f>
        <v>0.31156607099208905</v>
      </c>
      <c r="CD39" s="155">
        <f>AVERAGE(BY39:CC39)</f>
        <v>0.3019205226215087</v>
      </c>
    </row>
    <row r="40" spans="1:82" ht="14.5">
      <c r="A40" s="143" t="s">
        <v>463</v>
      </c>
      <c r="B40" s="143"/>
      <c r="C40" s="144" t="s">
        <v>751</v>
      </c>
      <c r="D40" s="144" t="s">
        <v>1513</v>
      </c>
      <c r="E40" s="145" t="s">
        <v>752</v>
      </c>
      <c r="F40" s="143" t="str">
        <f>SUBSTITUTE(E40," ","")</f>
        <v>95101508981</v>
      </c>
      <c r="G40" s="143" t="s">
        <v>1596</v>
      </c>
      <c r="H40" s="143" t="s">
        <v>31</v>
      </c>
      <c r="I40" s="143">
        <v>2267</v>
      </c>
      <c r="J40" s="143">
        <v>-33.063029999999998</v>
      </c>
      <c r="K40" s="143">
        <v>151.569748</v>
      </c>
      <c r="L40" s="143">
        <v>1982</v>
      </c>
      <c r="M40" s="143">
        <v>40</v>
      </c>
      <c r="N40" s="143">
        <v>2032</v>
      </c>
      <c r="O40" s="143"/>
      <c r="P40" s="143"/>
      <c r="Q40" s="143" t="s">
        <v>29</v>
      </c>
      <c r="R40" s="143" t="s">
        <v>29</v>
      </c>
      <c r="S40" s="147"/>
      <c r="T40" s="143"/>
      <c r="U40" s="143"/>
      <c r="V40" s="143"/>
      <c r="W40" s="143"/>
      <c r="X40" s="143"/>
      <c r="Y40" s="143"/>
      <c r="Z40" s="143"/>
      <c r="AA40" s="143"/>
      <c r="AB40" s="143"/>
      <c r="AC40" s="143"/>
      <c r="AD40" s="153"/>
      <c r="AE40" s="153"/>
      <c r="AF40" s="143"/>
      <c r="AG40" s="155"/>
      <c r="AH40" s="147" t="s">
        <v>26</v>
      </c>
      <c r="AI40" s="146" t="s">
        <v>36</v>
      </c>
      <c r="AJ40" s="146" t="s">
        <v>1597</v>
      </c>
      <c r="AK40" s="146" t="s">
        <v>33</v>
      </c>
      <c r="AL40" s="143" t="s">
        <v>134</v>
      </c>
      <c r="AM40" s="143"/>
      <c r="AN40" s="143"/>
      <c r="AO40" s="143"/>
      <c r="AP40" s="152"/>
      <c r="AQ40" s="153"/>
      <c r="AR40" s="153"/>
      <c r="AS40" s="153"/>
      <c r="AT40" s="153"/>
      <c r="AU40" s="154"/>
      <c r="AV40" s="153" t="s">
        <v>1028</v>
      </c>
      <c r="AW40" s="153" t="s">
        <v>92</v>
      </c>
      <c r="AX40" s="153" t="s">
        <v>92</v>
      </c>
      <c r="AY40" s="153" t="s">
        <v>73</v>
      </c>
      <c r="AZ40" s="153" t="s">
        <v>73</v>
      </c>
      <c r="BA40" s="154" t="s">
        <v>73</v>
      </c>
      <c r="BB40" s="152">
        <v>402028</v>
      </c>
      <c r="BC40" s="153">
        <v>664956</v>
      </c>
      <c r="BD40" s="153">
        <v>590788</v>
      </c>
      <c r="BE40" s="157">
        <v>825052</v>
      </c>
      <c r="BF40" s="157">
        <v>825052</v>
      </c>
      <c r="BG40" s="157"/>
      <c r="BH40" s="155"/>
      <c r="BI40" s="152">
        <v>305478</v>
      </c>
      <c r="BJ40" s="153">
        <v>664956</v>
      </c>
      <c r="BK40" s="153">
        <v>590788</v>
      </c>
      <c r="BL40" s="153">
        <v>460834</v>
      </c>
      <c r="BM40" s="153">
        <v>402866</v>
      </c>
      <c r="BN40" s="154">
        <f>SUMIF(BI40:BM40,"&gt;0",BI40:BM40)</f>
        <v>2424922</v>
      </c>
      <c r="BO40" s="156"/>
      <c r="BP40" s="148"/>
      <c r="BQ40" s="153"/>
      <c r="BR40" s="153"/>
      <c r="BS40" s="152">
        <v>1693819</v>
      </c>
      <c r="BT40" s="148">
        <v>2166743</v>
      </c>
      <c r="BU40" s="148">
        <v>1560325</v>
      </c>
      <c r="BV40" s="148">
        <v>963000</v>
      </c>
      <c r="BW40" s="148">
        <v>850000</v>
      </c>
      <c r="BX40" s="154">
        <f>SUM(BS40:BW40)</f>
        <v>7233887</v>
      </c>
      <c r="BY40" s="143">
        <f>BI40/BS40</f>
        <v>0.18034866771479124</v>
      </c>
      <c r="BZ40" s="143">
        <f>BJ40/BT40</f>
        <v>0.30689195719104667</v>
      </c>
      <c r="CA40" s="143">
        <f>BK40/BU40</f>
        <v>0.37863137487382437</v>
      </c>
      <c r="CB40" s="143">
        <f>BL40/BV40</f>
        <v>0.47853997923156799</v>
      </c>
      <c r="CC40" s="143">
        <f>BM40/BW40</f>
        <v>0.47395999999999999</v>
      </c>
      <c r="CD40" s="155">
        <f>AVERAGE(BY40:CC40)</f>
        <v>0.36367439580224603</v>
      </c>
    </row>
    <row r="41" spans="1:82" ht="14.5">
      <c r="A41" s="143" t="s">
        <v>315</v>
      </c>
      <c r="B41" s="143" t="s">
        <v>1101</v>
      </c>
      <c r="C41" s="144" t="s">
        <v>624</v>
      </c>
      <c r="D41" s="144" t="s">
        <v>1102</v>
      </c>
      <c r="E41" s="145" t="s">
        <v>625</v>
      </c>
      <c r="F41" s="143" t="str">
        <f>SUBSTITUTE(E41," ","")</f>
        <v>84607340189</v>
      </c>
      <c r="G41" s="143" t="s">
        <v>1103</v>
      </c>
      <c r="H41" s="143" t="s">
        <v>53</v>
      </c>
      <c r="I41" s="143">
        <v>4715</v>
      </c>
      <c r="J41" s="143">
        <v>-24.327321999999999</v>
      </c>
      <c r="K41" s="143">
        <v>150.618301</v>
      </c>
      <c r="L41" s="143">
        <v>1944</v>
      </c>
      <c r="M41" s="143">
        <v>78</v>
      </c>
      <c r="N41" s="143">
        <v>2043</v>
      </c>
      <c r="O41" s="143"/>
      <c r="P41" s="143"/>
      <c r="Q41" s="143" t="s">
        <v>29</v>
      </c>
      <c r="R41" s="143" t="s">
        <v>29</v>
      </c>
      <c r="S41" s="147"/>
      <c r="T41" s="143"/>
      <c r="U41" s="143"/>
      <c r="V41" s="143"/>
      <c r="W41" s="143"/>
      <c r="X41" s="143"/>
      <c r="Y41" s="143"/>
      <c r="Z41" s="143"/>
      <c r="AA41" s="143"/>
      <c r="AB41" s="143"/>
      <c r="AC41" s="143"/>
      <c r="AD41" s="153"/>
      <c r="AE41" s="153"/>
      <c r="AF41" s="143"/>
      <c r="AG41" s="155"/>
      <c r="AH41" s="147" t="s">
        <v>26</v>
      </c>
      <c r="AI41" s="146" t="s">
        <v>36</v>
      </c>
      <c r="AJ41" s="146" t="s">
        <v>1104</v>
      </c>
      <c r="AK41" s="146" t="s">
        <v>21</v>
      </c>
      <c r="AL41" s="143" t="s">
        <v>54</v>
      </c>
      <c r="AM41" s="143"/>
      <c r="AN41" s="143"/>
      <c r="AO41" s="143"/>
      <c r="AP41" s="152"/>
      <c r="AQ41" s="153"/>
      <c r="AR41" s="153"/>
      <c r="AS41" s="153"/>
      <c r="AT41" s="153"/>
      <c r="AU41" s="154"/>
      <c r="AV41" s="153" t="s">
        <v>106</v>
      </c>
      <c r="AW41" s="153" t="s">
        <v>106</v>
      </c>
      <c r="AX41" s="153" t="s">
        <v>106</v>
      </c>
      <c r="AY41" s="153" t="s">
        <v>106</v>
      </c>
      <c r="AZ41" s="153" t="s">
        <v>73</v>
      </c>
      <c r="BA41" s="260" t="s">
        <v>73</v>
      </c>
      <c r="BB41" s="152">
        <v>252425</v>
      </c>
      <c r="BC41" s="153">
        <v>252425</v>
      </c>
      <c r="BD41" s="153">
        <v>252425</v>
      </c>
      <c r="BE41" s="157">
        <v>252425</v>
      </c>
      <c r="BF41" s="157">
        <v>241186</v>
      </c>
      <c r="BG41" s="157"/>
      <c r="BH41" s="155"/>
      <c r="BI41" s="152" t="s">
        <v>920</v>
      </c>
      <c r="BJ41" s="153">
        <v>136744</v>
      </c>
      <c r="BK41" s="153">
        <v>198952</v>
      </c>
      <c r="BL41" s="153">
        <v>168283</v>
      </c>
      <c r="BM41" s="153">
        <v>159113</v>
      </c>
      <c r="BN41" s="154">
        <f>SUMIF(BI41:BM41,"&gt;0",BI41:BM41)</f>
        <v>663092</v>
      </c>
      <c r="BO41" s="156">
        <v>163000</v>
      </c>
      <c r="BP41" s="148">
        <v>163000</v>
      </c>
      <c r="BQ41" s="153">
        <v>163000</v>
      </c>
      <c r="BR41" s="153">
        <v>163000</v>
      </c>
      <c r="BS41" s="152">
        <v>8394299</v>
      </c>
      <c r="BT41" s="148">
        <v>9776167</v>
      </c>
      <c r="BU41" s="148">
        <v>11322810</v>
      </c>
      <c r="BV41" s="148">
        <v>10257099</v>
      </c>
      <c r="BW41" s="148">
        <v>8533171</v>
      </c>
      <c r="BX41" s="154">
        <f>SUM(BS41:BW41)</f>
        <v>48283546</v>
      </c>
      <c r="BY41" s="143" t="e">
        <f>BI41/BS41</f>
        <v>#VALUE!</v>
      </c>
      <c r="BZ41" s="143">
        <f>BJ41/BT41</f>
        <v>1.3987486097567687E-2</v>
      </c>
      <c r="CA41" s="143">
        <f>BK41/BU41</f>
        <v>1.7570903335832715E-2</v>
      </c>
      <c r="CB41" s="143">
        <f>BL41/BV41</f>
        <v>1.6406490763129028E-2</v>
      </c>
      <c r="CC41" s="143">
        <f>BM41/BW41</f>
        <v>1.8646409406303941E-2</v>
      </c>
      <c r="CD41" s="155" t="e">
        <f>AVERAGE(BY41:CC41)</f>
        <v>#VALUE!</v>
      </c>
    </row>
    <row r="42" spans="1:82" ht="14.5">
      <c r="A42" s="143" t="s">
        <v>428</v>
      </c>
      <c r="B42" s="143"/>
      <c r="C42" s="144" t="s">
        <v>719</v>
      </c>
      <c r="D42" s="159" t="s">
        <v>1489</v>
      </c>
      <c r="E42" s="145" t="s">
        <v>720</v>
      </c>
      <c r="F42" s="143" t="str">
        <f>SUBSTITUTE(E42," ","")</f>
        <v>66007845338</v>
      </c>
      <c r="G42" s="143" t="s">
        <v>428</v>
      </c>
      <c r="H42" s="143" t="s">
        <v>74</v>
      </c>
      <c r="I42" s="143">
        <v>3984</v>
      </c>
      <c r="J42" s="143">
        <v>-38.297752000000003</v>
      </c>
      <c r="K42" s="143">
        <v>145.57177799999999</v>
      </c>
      <c r="L42" s="143">
        <v>2006</v>
      </c>
      <c r="M42" s="143">
        <v>16</v>
      </c>
      <c r="N42" s="143">
        <v>0</v>
      </c>
      <c r="O42" s="143"/>
      <c r="P42" s="143"/>
      <c r="Q42" s="143" t="s">
        <v>121</v>
      </c>
      <c r="R42" s="143" t="s">
        <v>58</v>
      </c>
      <c r="S42" s="147"/>
      <c r="T42" s="143"/>
      <c r="U42" s="143"/>
      <c r="V42" s="143"/>
      <c r="W42" s="143"/>
      <c r="X42" s="143"/>
      <c r="Y42" s="143"/>
      <c r="Z42" s="143"/>
      <c r="AA42" s="143"/>
      <c r="AB42" s="143"/>
      <c r="AC42" s="143"/>
      <c r="AD42" s="153"/>
      <c r="AE42" s="153"/>
      <c r="AF42" s="143"/>
      <c r="AG42" s="155"/>
      <c r="AH42" s="147" t="s">
        <v>26</v>
      </c>
      <c r="AI42" s="151" t="s">
        <v>76</v>
      </c>
      <c r="AJ42" s="146"/>
      <c r="AK42" s="146" t="s">
        <v>292</v>
      </c>
      <c r="AL42" s="146" t="s">
        <v>292</v>
      </c>
      <c r="AM42" s="143"/>
      <c r="AN42" s="143"/>
      <c r="AO42" s="143"/>
      <c r="AP42" s="152"/>
      <c r="AQ42" s="153"/>
      <c r="AR42" s="153"/>
      <c r="AS42" s="153"/>
      <c r="AT42" s="153"/>
      <c r="AU42" s="154"/>
      <c r="AV42" s="153" t="s">
        <v>1028</v>
      </c>
      <c r="AW42" s="153" t="s">
        <v>106</v>
      </c>
      <c r="AX42" s="153" t="s">
        <v>106</v>
      </c>
      <c r="AY42" s="153" t="s">
        <v>106</v>
      </c>
      <c r="AZ42" s="153" t="s">
        <v>73</v>
      </c>
      <c r="BA42" s="154" t="s">
        <v>73</v>
      </c>
      <c r="BB42" s="152">
        <v>257424</v>
      </c>
      <c r="BC42" s="153">
        <v>257424</v>
      </c>
      <c r="BD42" s="153">
        <v>257424</v>
      </c>
      <c r="BE42" s="157">
        <v>257424</v>
      </c>
      <c r="BF42" s="157">
        <v>185553</v>
      </c>
      <c r="BG42" s="157"/>
      <c r="BH42" s="155"/>
      <c r="BI42" s="152">
        <v>173553</v>
      </c>
      <c r="BJ42" s="153">
        <v>225503</v>
      </c>
      <c r="BK42" s="153">
        <v>179457</v>
      </c>
      <c r="BL42" s="153">
        <v>160631</v>
      </c>
      <c r="BM42" s="153">
        <v>119571</v>
      </c>
      <c r="BN42" s="154">
        <f>SUMIF(BI42:BM42,"&gt;0",BI42:BM42)</f>
        <v>858715</v>
      </c>
      <c r="BO42" s="156"/>
      <c r="BP42" s="148"/>
      <c r="BQ42" s="153"/>
      <c r="BR42" s="153"/>
      <c r="BS42" s="152"/>
      <c r="BT42" s="148"/>
      <c r="BU42" s="148"/>
      <c r="BV42" s="148"/>
      <c r="BW42" s="148"/>
      <c r="BX42" s="154">
        <f>SUM(BS42:BW42)</f>
        <v>0</v>
      </c>
      <c r="BY42" s="143"/>
      <c r="BZ42" s="143"/>
      <c r="CA42" s="143"/>
      <c r="CB42" s="143"/>
      <c r="CC42" s="143"/>
      <c r="CD42" s="155"/>
    </row>
    <row r="43" spans="1:82" ht="14.5">
      <c r="A43" s="143" t="s">
        <v>494</v>
      </c>
      <c r="B43" s="143"/>
      <c r="C43" s="144" t="s">
        <v>719</v>
      </c>
      <c r="D43" s="159" t="s">
        <v>1489</v>
      </c>
      <c r="E43" s="145" t="s">
        <v>720</v>
      </c>
      <c r="F43" s="143" t="str">
        <f>SUBSTITUTE(E43," ","")</f>
        <v>66007845338</v>
      </c>
      <c r="G43" s="143" t="s">
        <v>1711</v>
      </c>
      <c r="H43" s="143" t="s">
        <v>74</v>
      </c>
      <c r="I43" s="143">
        <v>3269</v>
      </c>
      <c r="J43" s="143">
        <v>-38.571886999999997</v>
      </c>
      <c r="K43" s="143">
        <v>143.038759</v>
      </c>
      <c r="L43" s="143" t="s">
        <v>292</v>
      </c>
      <c r="M43" s="143" t="s">
        <v>292</v>
      </c>
      <c r="N43" s="143" t="s">
        <v>292</v>
      </c>
      <c r="O43" s="143"/>
      <c r="P43" s="143"/>
      <c r="Q43" s="143" t="s">
        <v>121</v>
      </c>
      <c r="R43" s="143" t="s">
        <v>58</v>
      </c>
      <c r="S43" s="147"/>
      <c r="T43" s="143"/>
      <c r="U43" s="143"/>
      <c r="V43" s="143"/>
      <c r="W43" s="143"/>
      <c r="X43" s="143"/>
      <c r="Y43" s="143"/>
      <c r="Z43" s="143"/>
      <c r="AA43" s="143"/>
      <c r="AB43" s="143"/>
      <c r="AC43" s="143"/>
      <c r="AD43" s="153"/>
      <c r="AE43" s="153"/>
      <c r="AF43" s="143"/>
      <c r="AG43" s="155"/>
      <c r="AH43" s="147" t="s">
        <v>26</v>
      </c>
      <c r="AI43" s="151" t="s">
        <v>76</v>
      </c>
      <c r="AJ43" s="146"/>
      <c r="AK43" s="146" t="s">
        <v>292</v>
      </c>
      <c r="AL43" s="146" t="s">
        <v>292</v>
      </c>
      <c r="AM43" s="143"/>
      <c r="AN43" s="143"/>
      <c r="AO43" s="143"/>
      <c r="AP43" s="152"/>
      <c r="AQ43" s="153"/>
      <c r="AR43" s="153"/>
      <c r="AS43" s="153"/>
      <c r="AT43" s="153"/>
      <c r="AU43" s="154"/>
      <c r="AV43" s="153" t="s">
        <v>1028</v>
      </c>
      <c r="AW43" s="153" t="s">
        <v>106</v>
      </c>
      <c r="AX43" s="153" t="s">
        <v>106</v>
      </c>
      <c r="AY43" s="153" t="s">
        <v>106</v>
      </c>
      <c r="AZ43" s="153" t="s">
        <v>73</v>
      </c>
      <c r="BA43" s="154" t="s">
        <v>73</v>
      </c>
      <c r="BB43" s="152">
        <v>239524</v>
      </c>
      <c r="BC43" s="153">
        <v>239524</v>
      </c>
      <c r="BD43" s="153">
        <v>239524</v>
      </c>
      <c r="BE43" s="157">
        <v>239524</v>
      </c>
      <c r="BF43" s="157">
        <v>200355</v>
      </c>
      <c r="BG43" s="157"/>
      <c r="BH43" s="155"/>
      <c r="BI43" s="152">
        <v>165844</v>
      </c>
      <c r="BJ43" s="153">
        <v>165087</v>
      </c>
      <c r="BK43" s="153">
        <v>148961</v>
      </c>
      <c r="BL43" s="153">
        <v>137163</v>
      </c>
      <c r="BM43" s="153">
        <v>129055</v>
      </c>
      <c r="BN43" s="154">
        <f>SUMIF(BI43:BM43,"&gt;0",BI43:BM43)</f>
        <v>746110</v>
      </c>
      <c r="BO43" s="156"/>
      <c r="BP43" s="148"/>
      <c r="BQ43" s="153"/>
      <c r="BR43" s="153"/>
      <c r="BS43" s="152"/>
      <c r="BT43" s="148"/>
      <c r="BU43" s="148"/>
      <c r="BV43" s="148"/>
      <c r="BW43" s="148"/>
      <c r="BX43" s="154">
        <f>SUM(BS43:BW43)</f>
        <v>0</v>
      </c>
      <c r="BY43" s="143"/>
      <c r="BZ43" s="143"/>
      <c r="CA43" s="143"/>
      <c r="CB43" s="143"/>
      <c r="CC43" s="143"/>
      <c r="CD43" s="155"/>
    </row>
    <row r="44" spans="1:82" ht="14.5">
      <c r="A44" s="143" t="s">
        <v>511</v>
      </c>
      <c r="B44" s="143" t="s">
        <v>1765</v>
      </c>
      <c r="C44" s="144" t="s">
        <v>757</v>
      </c>
      <c r="D44" s="144" t="s">
        <v>1052</v>
      </c>
      <c r="E44" s="145" t="s">
        <v>758</v>
      </c>
      <c r="F44" s="143" t="str">
        <f>SUBSTITUTE(E44," ","")</f>
        <v>46008700981</v>
      </c>
      <c r="G44" s="143" t="s">
        <v>1766</v>
      </c>
      <c r="H44" s="143" t="s">
        <v>81</v>
      </c>
      <c r="I44" s="143">
        <v>6721</v>
      </c>
      <c r="J44" s="143">
        <v>-20.321389</v>
      </c>
      <c r="K44" s="143">
        <v>118.59138900000001</v>
      </c>
      <c r="L44" s="143" t="s">
        <v>292</v>
      </c>
      <c r="M44" s="143" t="s">
        <v>292</v>
      </c>
      <c r="N44" s="143" t="s">
        <v>292</v>
      </c>
      <c r="O44" s="143"/>
      <c r="P44" s="143"/>
      <c r="Q44" s="143" t="s">
        <v>278</v>
      </c>
      <c r="R44" s="143" t="s">
        <v>79</v>
      </c>
      <c r="S44" s="147"/>
      <c r="T44" s="143"/>
      <c r="U44" s="143"/>
      <c r="V44" s="143"/>
      <c r="W44" s="143"/>
      <c r="X44" s="143"/>
      <c r="Y44" s="143"/>
      <c r="Z44" s="143"/>
      <c r="AA44" s="143"/>
      <c r="AB44" s="143"/>
      <c r="AC44" s="143"/>
      <c r="AD44" s="153"/>
      <c r="AE44" s="153"/>
      <c r="AF44" s="143"/>
      <c r="AG44" s="155"/>
      <c r="AH44" s="147" t="s">
        <v>48</v>
      </c>
      <c r="AI44" s="151" t="s">
        <v>76</v>
      </c>
      <c r="AJ44" s="146"/>
      <c r="AK44" s="146" t="s">
        <v>70</v>
      </c>
      <c r="AL44" s="151" t="s">
        <v>118</v>
      </c>
      <c r="AM44" s="143"/>
      <c r="AN44" s="143"/>
      <c r="AO44" s="143"/>
      <c r="AP44" s="152"/>
      <c r="AQ44" s="153"/>
      <c r="AR44" s="153"/>
      <c r="AS44" s="153"/>
      <c r="AT44" s="153"/>
      <c r="AU44" s="154"/>
      <c r="AV44" s="153" t="s">
        <v>41</v>
      </c>
      <c r="AW44" s="153" t="s">
        <v>41</v>
      </c>
      <c r="AX44" s="153" t="s">
        <v>41</v>
      </c>
      <c r="AY44" s="153" t="s">
        <v>98</v>
      </c>
      <c r="AZ44" s="153" t="s">
        <v>98</v>
      </c>
      <c r="BA44" s="154" t="s">
        <v>98</v>
      </c>
      <c r="BB44" s="152">
        <v>531328</v>
      </c>
      <c r="BC44" s="153">
        <v>531328</v>
      </c>
      <c r="BD44" s="153">
        <v>531328</v>
      </c>
      <c r="BE44" s="157">
        <v>576806</v>
      </c>
      <c r="BF44" s="157">
        <v>585410</v>
      </c>
      <c r="BG44" s="157"/>
      <c r="BH44" s="155"/>
      <c r="BI44" s="152">
        <v>510447</v>
      </c>
      <c r="BJ44" s="153">
        <v>509184</v>
      </c>
      <c r="BK44" s="153">
        <v>494600</v>
      </c>
      <c r="BL44" s="153">
        <v>537676</v>
      </c>
      <c r="BM44" s="153">
        <v>548215</v>
      </c>
      <c r="BN44" s="154">
        <f>SUMIF(BI44:BM44,"&gt;0",BI44:BM44)</f>
        <v>2600122</v>
      </c>
      <c r="BO44" s="156"/>
      <c r="BP44" s="148"/>
      <c r="BQ44" s="153"/>
      <c r="BR44" s="153"/>
      <c r="BS44" s="152"/>
      <c r="BT44" s="148"/>
      <c r="BU44" s="148"/>
      <c r="BV44" s="148"/>
      <c r="BW44" s="148"/>
      <c r="BX44" s="154">
        <f>SUM(BS44:BW44)</f>
        <v>0</v>
      </c>
      <c r="BY44" s="143"/>
      <c r="BZ44" s="143"/>
      <c r="CA44" s="143"/>
      <c r="CB44" s="143"/>
      <c r="CC44" s="143"/>
      <c r="CD44" s="155"/>
    </row>
    <row r="45" spans="1:82" ht="14.5">
      <c r="A45" s="143" t="s">
        <v>413</v>
      </c>
      <c r="B45" s="143" t="s">
        <v>1435</v>
      </c>
      <c r="C45" s="144" t="s">
        <v>1436</v>
      </c>
      <c r="D45" s="144" t="s">
        <v>1052</v>
      </c>
      <c r="E45" s="145" t="s">
        <v>704</v>
      </c>
      <c r="F45" s="143" t="str">
        <f>SUBSTITUTE(E45," ","")</f>
        <v>39062894464</v>
      </c>
      <c r="G45" s="143" t="s">
        <v>1118</v>
      </c>
      <c r="H45" s="143" t="s">
        <v>31</v>
      </c>
      <c r="I45" s="143">
        <v>2333</v>
      </c>
      <c r="J45" s="143">
        <v>-32.337181999999999</v>
      </c>
      <c r="K45" s="143">
        <v>150.86177900000001</v>
      </c>
      <c r="L45" s="143" t="s">
        <v>292</v>
      </c>
      <c r="M45" s="143" t="s">
        <v>292</v>
      </c>
      <c r="N45" s="143" t="s">
        <v>292</v>
      </c>
      <c r="O45" s="143"/>
      <c r="P45" s="143"/>
      <c r="Q45" s="143" t="s">
        <v>29</v>
      </c>
      <c r="R45" s="143" t="s">
        <v>29</v>
      </c>
      <c r="S45" s="147"/>
      <c r="T45" s="143"/>
      <c r="U45" s="143"/>
      <c r="V45" s="143"/>
      <c r="W45" s="143"/>
      <c r="X45" s="143"/>
      <c r="Y45" s="143"/>
      <c r="Z45" s="143"/>
      <c r="AA45" s="143"/>
      <c r="AB45" s="143"/>
      <c r="AC45" s="143"/>
      <c r="AD45" s="153"/>
      <c r="AE45" s="153"/>
      <c r="AF45" s="143"/>
      <c r="AG45" s="155"/>
      <c r="AH45" s="147" t="s">
        <v>26</v>
      </c>
      <c r="AI45" s="146" t="s">
        <v>36</v>
      </c>
      <c r="AJ45" s="146" t="s">
        <v>1111</v>
      </c>
      <c r="AK45" s="146" t="s">
        <v>21</v>
      </c>
      <c r="AL45" s="146" t="s">
        <v>134</v>
      </c>
      <c r="AM45" s="143" t="s">
        <v>77</v>
      </c>
      <c r="AN45" s="143">
        <v>16</v>
      </c>
      <c r="AO45" s="143"/>
      <c r="AP45" s="152" t="s">
        <v>26</v>
      </c>
      <c r="AQ45" s="153" t="s">
        <v>37</v>
      </c>
      <c r="AR45" s="148" t="s">
        <v>1094</v>
      </c>
      <c r="AS45" s="160" t="str">
        <f>IF(BM45&gt;(BJ45*1.1),"yes","no")</f>
        <v>yes</v>
      </c>
      <c r="AT45" s="160" t="str">
        <f>IF(BM45&gt;(BI45*1.1),"yes","no")</f>
        <v>yes</v>
      </c>
      <c r="AU45" s="154">
        <v>0</v>
      </c>
      <c r="AV45" s="153" t="s">
        <v>1028</v>
      </c>
      <c r="AW45" s="153" t="s">
        <v>106</v>
      </c>
      <c r="AX45" s="153" t="s">
        <v>106</v>
      </c>
      <c r="AY45" s="153" t="s">
        <v>106</v>
      </c>
      <c r="AZ45" s="153" t="s">
        <v>80</v>
      </c>
      <c r="BA45" s="154" t="s">
        <v>80</v>
      </c>
      <c r="BB45" s="152">
        <v>1461382</v>
      </c>
      <c r="BC45" s="153">
        <v>1461382</v>
      </c>
      <c r="BD45" s="153">
        <v>1461382</v>
      </c>
      <c r="BE45" s="157">
        <v>1461382</v>
      </c>
      <c r="BF45" s="157">
        <v>516060</v>
      </c>
      <c r="BG45" s="157"/>
      <c r="BH45" s="155"/>
      <c r="BI45" s="152">
        <v>460897</v>
      </c>
      <c r="BJ45" s="153">
        <v>448693</v>
      </c>
      <c r="BK45" s="153">
        <v>533444</v>
      </c>
      <c r="BL45" s="153">
        <v>538610</v>
      </c>
      <c r="BM45" s="153">
        <v>546521</v>
      </c>
      <c r="BN45" s="154">
        <f>SUMIF(BI45:BM45,"&gt;0",BI45:BM45)</f>
        <v>2528165</v>
      </c>
      <c r="BO45" s="156"/>
      <c r="BP45" s="148"/>
      <c r="BQ45" s="153"/>
      <c r="BR45" s="153"/>
      <c r="BS45" s="152">
        <v>23407000</v>
      </c>
      <c r="BT45" s="148">
        <v>23679000</v>
      </c>
      <c r="BU45" s="148">
        <v>24969000</v>
      </c>
      <c r="BV45" s="148">
        <v>20000000</v>
      </c>
      <c r="BW45" s="148">
        <v>21300000</v>
      </c>
      <c r="BX45" s="154">
        <f>SUM(BS45:BW45)</f>
        <v>113355000</v>
      </c>
      <c r="BY45" s="143">
        <f>BI45/BS45</f>
        <v>1.9690562652198061E-2</v>
      </c>
      <c r="BZ45" s="143">
        <f>BJ45/BT45</f>
        <v>1.894898433210862E-2</v>
      </c>
      <c r="CA45" s="143">
        <f>BK45/BU45</f>
        <v>2.136425167207337E-2</v>
      </c>
      <c r="CB45" s="143">
        <f>BL45/BV45</f>
        <v>2.69305E-2</v>
      </c>
      <c r="CC45" s="143">
        <f>BM45/BW45</f>
        <v>2.5658262910798122E-2</v>
      </c>
      <c r="CD45" s="155">
        <f>AVERAGE(BY45:CC45)</f>
        <v>2.2518512313435636E-2</v>
      </c>
    </row>
    <row r="46" spans="1:82" ht="14.5">
      <c r="A46" s="143" t="s">
        <v>300</v>
      </c>
      <c r="B46" s="143" t="s">
        <v>1051</v>
      </c>
      <c r="C46" s="144" t="s">
        <v>757</v>
      </c>
      <c r="D46" s="144" t="s">
        <v>1052</v>
      </c>
      <c r="E46" s="145" t="s">
        <v>758</v>
      </c>
      <c r="F46" s="143" t="str">
        <f>SUBSTITUTE(E46," ","")</f>
        <v>46008700981</v>
      </c>
      <c r="G46" s="143" t="s">
        <v>1053</v>
      </c>
      <c r="H46" s="143" t="s">
        <v>81</v>
      </c>
      <c r="I46" s="143">
        <v>6753</v>
      </c>
      <c r="J46" s="143">
        <v>-22.922499999999999</v>
      </c>
      <c r="K46" s="143">
        <v>118.97444400000001</v>
      </c>
      <c r="L46" s="143" t="s">
        <v>292</v>
      </c>
      <c r="M46" s="143" t="s">
        <v>292</v>
      </c>
      <c r="N46" s="143" t="s">
        <v>292</v>
      </c>
      <c r="O46" s="143"/>
      <c r="P46" s="143"/>
      <c r="Q46" s="143" t="s">
        <v>125</v>
      </c>
      <c r="R46" s="143" t="s">
        <v>65</v>
      </c>
      <c r="S46" s="147"/>
      <c r="T46" s="143"/>
      <c r="U46" s="143"/>
      <c r="V46" s="143"/>
      <c r="W46" s="143"/>
      <c r="X46" s="143"/>
      <c r="Y46" s="143"/>
      <c r="Z46" s="143"/>
      <c r="AA46" s="143"/>
      <c r="AB46" s="143"/>
      <c r="AC46" s="143"/>
      <c r="AD46" s="153"/>
      <c r="AE46" s="153"/>
      <c r="AF46" s="143"/>
      <c r="AG46" s="155"/>
      <c r="AH46" s="150" t="s">
        <v>37</v>
      </c>
      <c r="AI46" s="151" t="s">
        <v>76</v>
      </c>
      <c r="AJ46" s="151" t="s">
        <v>70</v>
      </c>
      <c r="AK46" s="151" t="s">
        <v>70</v>
      </c>
      <c r="AL46" s="151" t="s">
        <v>118</v>
      </c>
      <c r="AM46" s="151" t="s">
        <v>70</v>
      </c>
      <c r="AN46" s="151" t="s">
        <v>70</v>
      </c>
      <c r="AO46" s="151" t="s">
        <v>70</v>
      </c>
      <c r="AP46" s="152" t="s">
        <v>26</v>
      </c>
      <c r="AQ46" s="153" t="s">
        <v>26</v>
      </c>
      <c r="AR46" s="160" t="str">
        <f>IF(BF46&gt;(BD46*1.1),"yes","no")</f>
        <v>no</v>
      </c>
      <c r="AS46" s="160" t="str">
        <f>IF(BM46&gt;(BJ46*1.1),"yes","no")</f>
        <v>yes</v>
      </c>
      <c r="AT46" s="160" t="str">
        <f>IF(BM46&gt;(BI46*1.1),"yes","no")</f>
        <v>yes</v>
      </c>
      <c r="AU46" s="154">
        <v>0</v>
      </c>
      <c r="AV46" s="153" t="s">
        <v>41</v>
      </c>
      <c r="AW46" s="153" t="s">
        <v>41</v>
      </c>
      <c r="AX46" s="153" t="s">
        <v>80</v>
      </c>
      <c r="AY46" s="153" t="s">
        <v>80</v>
      </c>
      <c r="AZ46" s="153" t="s">
        <v>80</v>
      </c>
      <c r="BA46" s="154" t="s">
        <v>114</v>
      </c>
      <c r="BB46" s="152">
        <v>354064</v>
      </c>
      <c r="BC46" s="153">
        <v>354064</v>
      </c>
      <c r="BD46" s="153">
        <v>443666</v>
      </c>
      <c r="BE46" s="157">
        <v>444882</v>
      </c>
      <c r="BF46" s="157">
        <v>443666</v>
      </c>
      <c r="BG46" s="157"/>
      <c r="BH46" s="155"/>
      <c r="BI46" s="152">
        <v>307622</v>
      </c>
      <c r="BJ46" s="153">
        <v>325339</v>
      </c>
      <c r="BK46" s="153">
        <v>370602</v>
      </c>
      <c r="BL46" s="153">
        <v>419809</v>
      </c>
      <c r="BM46" s="153">
        <v>406944</v>
      </c>
      <c r="BN46" s="154">
        <f>SUMIF(BI46:BM46,"&gt;0",BI46:BM46)</f>
        <v>1830316</v>
      </c>
      <c r="BO46" s="156"/>
      <c r="BP46" s="148"/>
      <c r="BQ46" s="153"/>
      <c r="BR46" s="153"/>
      <c r="BS46" s="152"/>
      <c r="BT46" s="148"/>
      <c r="BU46" s="148"/>
      <c r="BV46" s="148"/>
      <c r="BW46" s="148"/>
      <c r="BX46" s="154">
        <f>SUM(BS46:BW46)</f>
        <v>0</v>
      </c>
      <c r="BY46" s="143"/>
      <c r="BZ46" s="143"/>
      <c r="CA46" s="143"/>
      <c r="CB46" s="143"/>
      <c r="CC46" s="143"/>
      <c r="CD46" s="155"/>
    </row>
    <row r="47" spans="1:82" ht="14.5">
      <c r="A47" s="143" t="s">
        <v>470</v>
      </c>
      <c r="B47" s="143" t="s">
        <v>1622</v>
      </c>
      <c r="C47" s="144" t="s">
        <v>757</v>
      </c>
      <c r="D47" s="144" t="s">
        <v>1052</v>
      </c>
      <c r="E47" s="145" t="s">
        <v>758</v>
      </c>
      <c r="F47" s="143" t="str">
        <f>SUBSTITUTE(E47," ","")</f>
        <v>46008700981</v>
      </c>
      <c r="G47" s="143" t="s">
        <v>1053</v>
      </c>
      <c r="H47" s="143" t="s">
        <v>81</v>
      </c>
      <c r="I47" s="143">
        <v>6753</v>
      </c>
      <c r="J47" s="143">
        <v>-23.360833</v>
      </c>
      <c r="K47" s="143">
        <v>119.670278</v>
      </c>
      <c r="L47" s="143" t="s">
        <v>292</v>
      </c>
      <c r="M47" s="143" t="s">
        <v>292</v>
      </c>
      <c r="N47" s="143" t="s">
        <v>292</v>
      </c>
      <c r="O47" s="143"/>
      <c r="P47" s="143"/>
      <c r="Q47" s="143" t="s">
        <v>125</v>
      </c>
      <c r="R47" s="143" t="s">
        <v>65</v>
      </c>
      <c r="S47" s="147"/>
      <c r="T47" s="143"/>
      <c r="U47" s="143"/>
      <c r="V47" s="143"/>
      <c r="W47" s="143"/>
      <c r="X47" s="143"/>
      <c r="Y47" s="143"/>
      <c r="Z47" s="143"/>
      <c r="AA47" s="143"/>
      <c r="AB47" s="143"/>
      <c r="AC47" s="143"/>
      <c r="AD47" s="153"/>
      <c r="AE47" s="153"/>
      <c r="AF47" s="143"/>
      <c r="AG47" s="155"/>
      <c r="AH47" s="150" t="s">
        <v>37</v>
      </c>
      <c r="AI47" s="151" t="s">
        <v>76</v>
      </c>
      <c r="AJ47" s="151" t="s">
        <v>70</v>
      </c>
      <c r="AK47" s="151" t="s">
        <v>70</v>
      </c>
      <c r="AL47" s="151" t="s">
        <v>118</v>
      </c>
      <c r="AM47" s="151" t="s">
        <v>70</v>
      </c>
      <c r="AN47" s="151" t="s">
        <v>70</v>
      </c>
      <c r="AO47" s="151" t="s">
        <v>70</v>
      </c>
      <c r="AP47" s="152" t="s">
        <v>26</v>
      </c>
      <c r="AQ47" s="153" t="s">
        <v>37</v>
      </c>
      <c r="AR47" s="160" t="str">
        <f>IF(BF47&gt;(BE47*1.1),"yes","no")</f>
        <v>yes</v>
      </c>
      <c r="AS47" s="160" t="str">
        <f>IF(BM47&gt;(BJ47*1.1),"yes","no")</f>
        <v>yes</v>
      </c>
      <c r="AT47" s="160" t="str">
        <f>IF(BM47&gt;(BI47*1.1),"yes","no")</f>
        <v>yes</v>
      </c>
      <c r="AU47" s="154">
        <v>0</v>
      </c>
      <c r="AV47" s="153" t="s">
        <v>106</v>
      </c>
      <c r="AW47" s="153" t="s">
        <v>106</v>
      </c>
      <c r="AX47" s="153" t="s">
        <v>106</v>
      </c>
      <c r="AY47" s="153" t="s">
        <v>80</v>
      </c>
      <c r="AZ47" s="153" t="s">
        <v>30</v>
      </c>
      <c r="BA47" s="154" t="s">
        <v>30</v>
      </c>
      <c r="BB47" s="152">
        <v>253714</v>
      </c>
      <c r="BC47" s="153">
        <v>253714</v>
      </c>
      <c r="BD47" s="153">
        <v>253714</v>
      </c>
      <c r="BE47" s="157">
        <v>343248</v>
      </c>
      <c r="BF47" s="157">
        <v>379460</v>
      </c>
      <c r="BG47" s="157"/>
      <c r="BH47" s="155" t="s">
        <v>1623</v>
      </c>
      <c r="BI47" s="152">
        <v>204194</v>
      </c>
      <c r="BJ47" s="153">
        <v>216854</v>
      </c>
      <c r="BK47" s="153">
        <v>258438</v>
      </c>
      <c r="BL47" s="153">
        <v>352174</v>
      </c>
      <c r="BM47" s="153">
        <v>349146</v>
      </c>
      <c r="BN47" s="154">
        <f>SUMIF(BI47:BM47,"&gt;0",BI47:BM47)</f>
        <v>1380806</v>
      </c>
      <c r="BO47" s="156"/>
      <c r="BP47" s="148"/>
      <c r="BQ47" s="153"/>
      <c r="BR47" s="153"/>
      <c r="BS47" s="152"/>
      <c r="BT47" s="148"/>
      <c r="BU47" s="148"/>
      <c r="BV47" s="148"/>
      <c r="BW47" s="148"/>
      <c r="BX47" s="154">
        <f>SUM(BS47:BW47)</f>
        <v>0</v>
      </c>
      <c r="BY47" s="143"/>
      <c r="BZ47" s="143"/>
      <c r="CA47" s="143"/>
      <c r="CB47" s="143"/>
      <c r="CC47" s="143"/>
      <c r="CD47" s="155"/>
    </row>
    <row r="48" spans="1:82" ht="14.5">
      <c r="A48" s="143" t="s">
        <v>418</v>
      </c>
      <c r="B48" s="143" t="s">
        <v>1448</v>
      </c>
      <c r="C48" s="144" t="s">
        <v>757</v>
      </c>
      <c r="D48" s="144" t="s">
        <v>1052</v>
      </c>
      <c r="E48" s="145" t="s">
        <v>758</v>
      </c>
      <c r="F48" s="143" t="str">
        <f>SUBSTITUTE(E48," ","")</f>
        <v>46008700981</v>
      </c>
      <c r="G48" s="143" t="s">
        <v>1053</v>
      </c>
      <c r="H48" s="143" t="s">
        <v>81</v>
      </c>
      <c r="I48" s="143">
        <v>6753</v>
      </c>
      <c r="J48" s="143">
        <v>-23.384443999999998</v>
      </c>
      <c r="K48" s="143">
        <v>120.133611</v>
      </c>
      <c r="L48" s="143">
        <v>1989</v>
      </c>
      <c r="M48" s="143">
        <v>33</v>
      </c>
      <c r="N48" s="143">
        <v>0</v>
      </c>
      <c r="O48" s="143"/>
      <c r="P48" s="143"/>
      <c r="Q48" s="143" t="s">
        <v>125</v>
      </c>
      <c r="R48" s="143" t="s">
        <v>65</v>
      </c>
      <c r="S48" s="147"/>
      <c r="T48" s="143"/>
      <c r="U48" s="143"/>
      <c r="V48" s="143"/>
      <c r="W48" s="143"/>
      <c r="X48" s="143"/>
      <c r="Y48" s="143"/>
      <c r="Z48" s="143"/>
      <c r="AA48" s="143"/>
      <c r="AB48" s="143"/>
      <c r="AC48" s="143"/>
      <c r="AD48" s="153"/>
      <c r="AE48" s="153"/>
      <c r="AF48" s="143"/>
      <c r="AG48" s="155"/>
      <c r="AH48" s="150" t="s">
        <v>37</v>
      </c>
      <c r="AI48" s="151" t="s">
        <v>76</v>
      </c>
      <c r="AJ48" s="151" t="s">
        <v>70</v>
      </c>
      <c r="AK48" s="151" t="s">
        <v>70</v>
      </c>
      <c r="AL48" s="151" t="s">
        <v>118</v>
      </c>
      <c r="AM48" s="151" t="s">
        <v>70</v>
      </c>
      <c r="AN48" s="151" t="s">
        <v>70</v>
      </c>
      <c r="AO48" s="151" t="s">
        <v>70</v>
      </c>
      <c r="AP48" s="152" t="s">
        <v>26</v>
      </c>
      <c r="AQ48" s="153" t="s">
        <v>26</v>
      </c>
      <c r="AR48" s="160" t="str">
        <f>IF(BF48&gt;(BD48*1.1),"yes","no")</f>
        <v>no</v>
      </c>
      <c r="AS48" s="160" t="str">
        <f>IF(BM48&gt;(BJ48*1.1),"yes","no")</f>
        <v>yes</v>
      </c>
      <c r="AT48" s="160" t="str">
        <f>IF(BM48&gt;(BI48*1.1),"yes","no")</f>
        <v>yes</v>
      </c>
      <c r="AU48" s="154">
        <v>0</v>
      </c>
      <c r="AV48" s="153" t="s">
        <v>41</v>
      </c>
      <c r="AW48" s="153" t="s">
        <v>41</v>
      </c>
      <c r="AX48" s="153" t="s">
        <v>80</v>
      </c>
      <c r="AY48" s="153" t="s">
        <v>80</v>
      </c>
      <c r="AZ48" s="153" t="s">
        <v>80</v>
      </c>
      <c r="BA48" s="154" t="s">
        <v>114</v>
      </c>
      <c r="BB48" s="152">
        <v>225310</v>
      </c>
      <c r="BC48" s="153">
        <v>225310</v>
      </c>
      <c r="BD48" s="153">
        <v>340351</v>
      </c>
      <c r="BE48" s="157">
        <v>341283</v>
      </c>
      <c r="BF48" s="157">
        <v>340351</v>
      </c>
      <c r="BG48" s="157"/>
      <c r="BH48" s="155"/>
      <c r="BI48" s="152">
        <v>216882</v>
      </c>
      <c r="BJ48" s="153">
        <v>240050</v>
      </c>
      <c r="BK48" s="153">
        <v>294288</v>
      </c>
      <c r="BL48" s="153">
        <v>309973</v>
      </c>
      <c r="BM48" s="153">
        <v>305260</v>
      </c>
      <c r="BN48" s="154">
        <f>SUMIF(BI48:BM48,"&gt;0",BI48:BM48)</f>
        <v>1366453</v>
      </c>
      <c r="BO48" s="156"/>
      <c r="BP48" s="148"/>
      <c r="BQ48" s="153"/>
      <c r="BR48" s="153"/>
      <c r="BS48" s="152"/>
      <c r="BT48" s="148"/>
      <c r="BU48" s="148"/>
      <c r="BV48" s="148"/>
      <c r="BW48" s="148"/>
      <c r="BX48" s="154">
        <f>SUM(BS48:BW48)</f>
        <v>0</v>
      </c>
      <c r="BY48" s="143"/>
      <c r="BZ48" s="143"/>
      <c r="CA48" s="143"/>
      <c r="CB48" s="143"/>
      <c r="CC48" s="143"/>
      <c r="CD48" s="155"/>
    </row>
    <row r="49" spans="1:82" ht="14.5">
      <c r="A49" s="143" t="s">
        <v>489</v>
      </c>
      <c r="B49" s="143" t="s">
        <v>1694</v>
      </c>
      <c r="C49" s="144" t="s">
        <v>1695</v>
      </c>
      <c r="D49" s="144" t="s">
        <v>1052</v>
      </c>
      <c r="E49" s="145" t="s">
        <v>1696</v>
      </c>
      <c r="F49" s="143" t="str">
        <f>SUBSTITUTE(E49," ","")</f>
        <v>99007835761</v>
      </c>
      <c r="G49" s="143" t="s">
        <v>1697</v>
      </c>
      <c r="H49" s="143" t="s">
        <v>60</v>
      </c>
      <c r="I49" s="143">
        <v>5725</v>
      </c>
      <c r="J49" s="143">
        <v>-30.439167000000001</v>
      </c>
      <c r="K49" s="143">
        <v>136.87194400000001</v>
      </c>
      <c r="L49" s="143" t="s">
        <v>292</v>
      </c>
      <c r="M49" s="143" t="s">
        <v>292</v>
      </c>
      <c r="N49" s="143" t="s">
        <v>292</v>
      </c>
      <c r="O49" s="143"/>
      <c r="P49" s="143"/>
      <c r="Q49" s="143" t="s">
        <v>224</v>
      </c>
      <c r="R49" s="143" t="s">
        <v>79</v>
      </c>
      <c r="S49" s="147"/>
      <c r="T49" s="143"/>
      <c r="U49" s="143"/>
      <c r="V49" s="143"/>
      <c r="W49" s="143"/>
      <c r="X49" s="143"/>
      <c r="Y49" s="143"/>
      <c r="Z49" s="143"/>
      <c r="AA49" s="143"/>
      <c r="AB49" s="143"/>
      <c r="AC49" s="143"/>
      <c r="AD49" s="153"/>
      <c r="AE49" s="153"/>
      <c r="AF49" s="143"/>
      <c r="AG49" s="155"/>
      <c r="AH49" s="150" t="s">
        <v>37</v>
      </c>
      <c r="AI49" s="151" t="s">
        <v>76</v>
      </c>
      <c r="AJ49" s="151" t="s">
        <v>70</v>
      </c>
      <c r="AK49" s="151" t="s">
        <v>70</v>
      </c>
      <c r="AL49" s="151" t="s">
        <v>118</v>
      </c>
      <c r="AM49" s="151" t="s">
        <v>70</v>
      </c>
      <c r="AN49" s="151" t="s">
        <v>70</v>
      </c>
      <c r="AO49" s="151" t="s">
        <v>70</v>
      </c>
      <c r="AP49" s="152" t="s">
        <v>26</v>
      </c>
      <c r="AQ49" s="153" t="s">
        <v>26</v>
      </c>
      <c r="AR49" s="160" t="str">
        <f>IF(BF49&gt;(BD49*1.1),"yes","no")</f>
        <v>no</v>
      </c>
      <c r="AS49" s="160" t="str">
        <f>IF(BM49&gt;(BJ49*1.1),"yes","no")</f>
        <v>yes</v>
      </c>
      <c r="AT49" s="160" t="str">
        <f>IF(BM49&gt;(BI49*1.1),"yes","no")</f>
        <v>yes</v>
      </c>
      <c r="AU49" s="154">
        <v>0</v>
      </c>
      <c r="AV49" s="153" t="s">
        <v>1028</v>
      </c>
      <c r="AW49" s="153" t="s">
        <v>106</v>
      </c>
      <c r="AX49" s="153" t="s">
        <v>80</v>
      </c>
      <c r="AY49" s="153" t="s">
        <v>80</v>
      </c>
      <c r="AZ49" s="153" t="s">
        <v>80</v>
      </c>
      <c r="BA49" s="154" t="s">
        <v>114</v>
      </c>
      <c r="BB49" s="152">
        <v>182406</v>
      </c>
      <c r="BC49" s="153">
        <v>182406</v>
      </c>
      <c r="BD49" s="153">
        <v>240277</v>
      </c>
      <c r="BE49" s="157">
        <v>240935</v>
      </c>
      <c r="BF49" s="157">
        <v>240277</v>
      </c>
      <c r="BG49" s="157"/>
      <c r="BH49" s="155" t="s">
        <v>1698</v>
      </c>
      <c r="BI49" s="152">
        <v>174942</v>
      </c>
      <c r="BJ49" s="153">
        <v>178079</v>
      </c>
      <c r="BK49" s="153">
        <v>203158</v>
      </c>
      <c r="BL49" s="153">
        <v>229614</v>
      </c>
      <c r="BM49" s="153">
        <v>234786</v>
      </c>
      <c r="BN49" s="154">
        <f>SUMIF(BI49:BM49,"&gt;0",BI49:BM49)</f>
        <v>1020579</v>
      </c>
      <c r="BO49" s="156"/>
      <c r="BP49" s="148"/>
      <c r="BQ49" s="153"/>
      <c r="BR49" s="153"/>
      <c r="BS49" s="152"/>
      <c r="BT49" s="148"/>
      <c r="BU49" s="148"/>
      <c r="BV49" s="148"/>
      <c r="BW49" s="148"/>
      <c r="BX49" s="154">
        <f>SUM(BS49:BW49)</f>
        <v>0</v>
      </c>
      <c r="BY49" s="143"/>
      <c r="BZ49" s="143"/>
      <c r="CA49" s="143"/>
      <c r="CB49" s="143"/>
      <c r="CC49" s="143"/>
      <c r="CD49" s="155"/>
    </row>
    <row r="50" spans="1:82" ht="14.5">
      <c r="A50" s="143" t="s">
        <v>597</v>
      </c>
      <c r="B50" s="143" t="s">
        <v>2044</v>
      </c>
      <c r="C50" s="144" t="s">
        <v>757</v>
      </c>
      <c r="D50" s="144" t="s">
        <v>1052</v>
      </c>
      <c r="E50" s="145" t="s">
        <v>758</v>
      </c>
      <c r="F50" s="143" t="str">
        <f>SUBSTITUTE(E50," ","")</f>
        <v>46008700981</v>
      </c>
      <c r="G50" s="143" t="s">
        <v>1053</v>
      </c>
      <c r="H50" s="143" t="s">
        <v>81</v>
      </c>
      <c r="I50" s="143">
        <v>6753</v>
      </c>
      <c r="J50" s="143">
        <v>-22.728888999999999</v>
      </c>
      <c r="K50" s="143">
        <v>119.083611</v>
      </c>
      <c r="L50" s="143">
        <v>1991</v>
      </c>
      <c r="M50" s="143">
        <v>31</v>
      </c>
      <c r="N50" s="143">
        <v>0</v>
      </c>
      <c r="O50" s="143"/>
      <c r="P50" s="143"/>
      <c r="Q50" s="143" t="s">
        <v>125</v>
      </c>
      <c r="R50" s="143" t="s">
        <v>65</v>
      </c>
      <c r="S50" s="147"/>
      <c r="T50" s="143"/>
      <c r="U50" s="143"/>
      <c r="V50" s="143"/>
      <c r="W50" s="143"/>
      <c r="X50" s="143"/>
      <c r="Y50" s="143"/>
      <c r="Z50" s="143"/>
      <c r="AA50" s="143"/>
      <c r="AB50" s="143"/>
      <c r="AC50" s="143"/>
      <c r="AD50" s="153"/>
      <c r="AE50" s="153"/>
      <c r="AF50" s="143"/>
      <c r="AG50" s="155"/>
      <c r="AH50" s="150" t="s">
        <v>37</v>
      </c>
      <c r="AI50" s="151" t="s">
        <v>76</v>
      </c>
      <c r="AJ50" s="151" t="s">
        <v>70</v>
      </c>
      <c r="AK50" s="151" t="s">
        <v>70</v>
      </c>
      <c r="AL50" s="151" t="s">
        <v>118</v>
      </c>
      <c r="AM50" s="151" t="s">
        <v>70</v>
      </c>
      <c r="AN50" s="151" t="s">
        <v>70</v>
      </c>
      <c r="AO50" s="151" t="s">
        <v>70</v>
      </c>
      <c r="AP50" s="152"/>
      <c r="AQ50" s="153"/>
      <c r="AR50" s="153"/>
      <c r="AS50" s="153"/>
      <c r="AT50" s="153"/>
      <c r="AU50" s="154"/>
      <c r="AV50" s="153" t="s">
        <v>1028</v>
      </c>
      <c r="AW50" s="153" t="s">
        <v>106</v>
      </c>
      <c r="AX50" s="153" t="s">
        <v>106</v>
      </c>
      <c r="AY50" s="153" t="s">
        <v>98</v>
      </c>
      <c r="AZ50" s="153" t="s">
        <v>98</v>
      </c>
      <c r="BA50" s="154" t="s">
        <v>98</v>
      </c>
      <c r="BB50" s="152">
        <v>195783</v>
      </c>
      <c r="BC50" s="153">
        <v>195783</v>
      </c>
      <c r="BD50" s="153">
        <v>195783</v>
      </c>
      <c r="BE50" s="157">
        <v>385559</v>
      </c>
      <c r="BF50" s="157">
        <v>379160</v>
      </c>
      <c r="BG50" s="157"/>
      <c r="BH50" s="155"/>
      <c r="BI50" s="152">
        <v>188419</v>
      </c>
      <c r="BJ50" s="153">
        <v>179972</v>
      </c>
      <c r="BK50" s="153">
        <v>198278</v>
      </c>
      <c r="BL50" s="153">
        <v>215307</v>
      </c>
      <c r="BM50" s="153">
        <v>190343</v>
      </c>
      <c r="BN50" s="154">
        <f>SUMIF(BI50:BM50,"&gt;0",BI50:BM50)</f>
        <v>972319</v>
      </c>
      <c r="BO50" s="156"/>
      <c r="BP50" s="148"/>
      <c r="BQ50" s="153"/>
      <c r="BR50" s="153"/>
      <c r="BS50" s="152"/>
      <c r="BT50" s="148"/>
      <c r="BU50" s="148"/>
      <c r="BV50" s="148"/>
      <c r="BW50" s="148"/>
      <c r="BX50" s="154">
        <f>SUM(BS50:BW50)</f>
        <v>0</v>
      </c>
      <c r="BY50" s="143"/>
      <c r="BZ50" s="143"/>
      <c r="CA50" s="143"/>
      <c r="CB50" s="143"/>
      <c r="CC50" s="143"/>
      <c r="CD50" s="155"/>
    </row>
    <row r="51" spans="1:82" ht="14.5">
      <c r="A51" s="143" t="s">
        <v>477</v>
      </c>
      <c r="B51" s="143" t="s">
        <v>1640</v>
      </c>
      <c r="C51" s="144" t="s">
        <v>1638</v>
      </c>
      <c r="D51" s="144" t="s">
        <v>1052</v>
      </c>
      <c r="E51" s="145" t="s">
        <v>763</v>
      </c>
      <c r="F51" s="143" t="str">
        <f>SUBSTITUTE(E51," ","")</f>
        <v>76004184598</v>
      </c>
      <c r="G51" s="143" t="s">
        <v>1641</v>
      </c>
      <c r="H51" s="143" t="s">
        <v>81</v>
      </c>
      <c r="I51" s="143">
        <v>6168</v>
      </c>
      <c r="J51" s="143">
        <v>-32.250422999999998</v>
      </c>
      <c r="K51" s="143">
        <v>115.766712</v>
      </c>
      <c r="L51" s="143" t="s">
        <v>292</v>
      </c>
      <c r="M51" s="143" t="s">
        <v>292</v>
      </c>
      <c r="N51" s="143" t="s">
        <v>292</v>
      </c>
      <c r="O51" s="143"/>
      <c r="P51" s="143"/>
      <c r="Q51" s="143" t="s">
        <v>176</v>
      </c>
      <c r="R51" s="143" t="s">
        <v>72</v>
      </c>
      <c r="S51" s="147"/>
      <c r="T51" s="143"/>
      <c r="U51" s="143"/>
      <c r="V51" s="143"/>
      <c r="W51" s="143"/>
      <c r="X51" s="143"/>
      <c r="Y51" s="143"/>
      <c r="Z51" s="143"/>
      <c r="AA51" s="143"/>
      <c r="AB51" s="143"/>
      <c r="AC51" s="143"/>
      <c r="AD51" s="153"/>
      <c r="AE51" s="153"/>
      <c r="AF51" s="143"/>
      <c r="AG51" s="155"/>
      <c r="AH51" s="150" t="s">
        <v>37</v>
      </c>
      <c r="AI51" s="151" t="s">
        <v>76</v>
      </c>
      <c r="AJ51" s="151" t="s">
        <v>70</v>
      </c>
      <c r="AK51" s="151" t="s">
        <v>70</v>
      </c>
      <c r="AL51" s="151" t="s">
        <v>118</v>
      </c>
      <c r="AM51" s="151" t="s">
        <v>70</v>
      </c>
      <c r="AN51" s="151" t="s">
        <v>70</v>
      </c>
      <c r="AO51" s="151" t="s">
        <v>70</v>
      </c>
      <c r="AP51" s="152"/>
      <c r="AQ51" s="153"/>
      <c r="AR51" s="153"/>
      <c r="AS51" s="153"/>
      <c r="AT51" s="153"/>
      <c r="AU51" s="154"/>
      <c r="AV51" s="153" t="s">
        <v>41</v>
      </c>
      <c r="AW51" s="153" t="s">
        <v>41</v>
      </c>
      <c r="AX51" s="153" t="s">
        <v>41</v>
      </c>
      <c r="AY51" s="153" t="s">
        <v>41</v>
      </c>
      <c r="AZ51" s="153" t="s">
        <v>98</v>
      </c>
      <c r="BA51" s="154" t="s">
        <v>98</v>
      </c>
      <c r="BB51" s="152">
        <v>181233</v>
      </c>
      <c r="BC51" s="153">
        <v>181233</v>
      </c>
      <c r="BD51" s="153">
        <v>181233</v>
      </c>
      <c r="BE51" s="157">
        <v>181233</v>
      </c>
      <c r="BF51" s="157">
        <v>176382</v>
      </c>
      <c r="BG51" s="157"/>
      <c r="BH51" s="155"/>
      <c r="BI51" s="152">
        <v>162531</v>
      </c>
      <c r="BJ51" s="153">
        <v>161594</v>
      </c>
      <c r="BK51" s="153">
        <v>164078</v>
      </c>
      <c r="BL51" s="153">
        <v>156593</v>
      </c>
      <c r="BM51" s="153">
        <v>170612</v>
      </c>
      <c r="BN51" s="154">
        <f>SUMIF(BI51:BM51,"&gt;0",BI51:BM51)</f>
        <v>815408</v>
      </c>
      <c r="BO51" s="156"/>
      <c r="BP51" s="148"/>
      <c r="BQ51" s="153"/>
      <c r="BR51" s="153"/>
      <c r="BS51" s="152"/>
      <c r="BT51" s="148"/>
      <c r="BU51" s="148"/>
      <c r="BV51" s="148"/>
      <c r="BW51" s="148"/>
      <c r="BX51" s="154">
        <f>SUM(BS51:BW51)</f>
        <v>0</v>
      </c>
      <c r="BY51" s="143"/>
      <c r="BZ51" s="143"/>
      <c r="CA51" s="143"/>
      <c r="CB51" s="143"/>
      <c r="CC51" s="143"/>
      <c r="CD51" s="155"/>
    </row>
    <row r="52" spans="1:82" ht="14.5">
      <c r="A52" s="143" t="s">
        <v>476</v>
      </c>
      <c r="B52" s="143" t="s">
        <v>1637</v>
      </c>
      <c r="C52" s="144" t="s">
        <v>1638</v>
      </c>
      <c r="D52" s="144" t="s">
        <v>1052</v>
      </c>
      <c r="E52" s="145" t="s">
        <v>763</v>
      </c>
      <c r="F52" s="143" t="str">
        <f>SUBSTITUTE(E52," ","")</f>
        <v>76004184598</v>
      </c>
      <c r="G52" s="143" t="s">
        <v>1639</v>
      </c>
      <c r="H52" s="143" t="s">
        <v>81</v>
      </c>
      <c r="I52" s="143">
        <v>6431</v>
      </c>
      <c r="J52" s="143">
        <v>-30.874167</v>
      </c>
      <c r="K52" s="143">
        <v>121.483056</v>
      </c>
      <c r="L52" s="143" t="s">
        <v>292</v>
      </c>
      <c r="M52" s="143" t="s">
        <v>292</v>
      </c>
      <c r="N52" s="143" t="s">
        <v>292</v>
      </c>
      <c r="O52" s="143"/>
      <c r="P52" s="143"/>
      <c r="Q52" s="143" t="s">
        <v>176</v>
      </c>
      <c r="R52" s="143" t="s">
        <v>72</v>
      </c>
      <c r="S52" s="147"/>
      <c r="T52" s="143"/>
      <c r="U52" s="143"/>
      <c r="V52" s="143"/>
      <c r="W52" s="143"/>
      <c r="X52" s="143"/>
      <c r="Y52" s="143"/>
      <c r="Z52" s="143"/>
      <c r="AA52" s="143"/>
      <c r="AB52" s="143"/>
      <c r="AC52" s="143"/>
      <c r="AD52" s="153"/>
      <c r="AE52" s="153"/>
      <c r="AF52" s="143"/>
      <c r="AG52" s="155"/>
      <c r="AH52" s="150" t="s">
        <v>37</v>
      </c>
      <c r="AI52" s="151" t="s">
        <v>76</v>
      </c>
      <c r="AJ52" s="151" t="s">
        <v>70</v>
      </c>
      <c r="AK52" s="151" t="s">
        <v>70</v>
      </c>
      <c r="AL52" s="151" t="s">
        <v>118</v>
      </c>
      <c r="AM52" s="151" t="s">
        <v>70</v>
      </c>
      <c r="AN52" s="151" t="s">
        <v>70</v>
      </c>
      <c r="AO52" s="151" t="s">
        <v>70</v>
      </c>
      <c r="AP52" s="152"/>
      <c r="AQ52" s="153"/>
      <c r="AR52" s="153"/>
      <c r="AS52" s="153"/>
      <c r="AT52" s="153"/>
      <c r="AU52" s="154"/>
      <c r="AV52" s="153" t="s">
        <v>1028</v>
      </c>
      <c r="AW52" s="153" t="s">
        <v>106</v>
      </c>
      <c r="AX52" s="153" t="s">
        <v>106</v>
      </c>
      <c r="AY52" s="153" t="s">
        <v>106</v>
      </c>
      <c r="AZ52" s="153" t="s">
        <v>106</v>
      </c>
      <c r="BA52" s="154" t="s">
        <v>114</v>
      </c>
      <c r="BB52" s="152">
        <v>166573</v>
      </c>
      <c r="BC52" s="153">
        <v>166573</v>
      </c>
      <c r="BD52" s="153">
        <v>166573</v>
      </c>
      <c r="BE52" s="157">
        <v>166573</v>
      </c>
      <c r="BF52" s="157">
        <v>166573</v>
      </c>
      <c r="BG52" s="157"/>
      <c r="BH52" s="155"/>
      <c r="BI52" s="152">
        <v>161689</v>
      </c>
      <c r="BJ52" s="153">
        <v>163414</v>
      </c>
      <c r="BK52" s="153">
        <v>161434</v>
      </c>
      <c r="BL52" s="153">
        <v>153723</v>
      </c>
      <c r="BM52" s="153">
        <v>157960</v>
      </c>
      <c r="BN52" s="154">
        <f>SUMIF(BI52:BM52,"&gt;0",BI52:BM52)</f>
        <v>798220</v>
      </c>
      <c r="BO52" s="156"/>
      <c r="BP52" s="148"/>
      <c r="BQ52" s="153"/>
      <c r="BR52" s="153"/>
      <c r="BS52" s="152"/>
      <c r="BT52" s="148"/>
      <c r="BU52" s="148"/>
      <c r="BV52" s="148"/>
      <c r="BW52" s="148"/>
      <c r="BX52" s="154">
        <f>SUM(BS52:BW52)</f>
        <v>0</v>
      </c>
      <c r="BY52" s="143"/>
      <c r="BZ52" s="143"/>
      <c r="CA52" s="143"/>
      <c r="CB52" s="143"/>
      <c r="CC52" s="143"/>
      <c r="CD52" s="155"/>
    </row>
    <row r="53" spans="1:82" ht="14.5">
      <c r="A53" s="143" t="s">
        <v>374</v>
      </c>
      <c r="B53" s="143" t="s">
        <v>1295</v>
      </c>
      <c r="C53" s="144" t="s">
        <v>1296</v>
      </c>
      <c r="D53" s="144" t="s">
        <v>1052</v>
      </c>
      <c r="E53" s="145">
        <v>46008700981</v>
      </c>
      <c r="F53" s="143" t="str">
        <f>SUBSTITUTE(E53," ","")</f>
        <v>46008700981</v>
      </c>
      <c r="G53" s="143" t="s">
        <v>1053</v>
      </c>
      <c r="H53" s="143" t="s">
        <v>81</v>
      </c>
      <c r="I53" s="143">
        <v>6753</v>
      </c>
      <c r="J53" s="143">
        <v>-23.340555999999999</v>
      </c>
      <c r="K53" s="143">
        <v>119.796944</v>
      </c>
      <c r="L53" s="143" t="s">
        <v>292</v>
      </c>
      <c r="M53" s="143" t="s">
        <v>292</v>
      </c>
      <c r="N53" s="143" t="s">
        <v>292</v>
      </c>
      <c r="O53" s="143"/>
      <c r="P53" s="143"/>
      <c r="Q53" s="143" t="s">
        <v>125</v>
      </c>
      <c r="R53" s="143" t="s">
        <v>65</v>
      </c>
      <c r="S53" s="147"/>
      <c r="T53" s="143"/>
      <c r="U53" s="143"/>
      <c r="V53" s="143"/>
      <c r="W53" s="143"/>
      <c r="X53" s="143"/>
      <c r="Y53" s="143"/>
      <c r="Z53" s="143"/>
      <c r="AA53" s="143"/>
      <c r="AB53" s="143"/>
      <c r="AC53" s="143"/>
      <c r="AD53" s="153"/>
      <c r="AE53" s="153"/>
      <c r="AF53" s="143"/>
      <c r="AG53" s="155"/>
      <c r="AH53" s="150" t="s">
        <v>37</v>
      </c>
      <c r="AI53" s="151" t="s">
        <v>76</v>
      </c>
      <c r="AJ53" s="151" t="s">
        <v>70</v>
      </c>
      <c r="AK53" s="151" t="s">
        <v>70</v>
      </c>
      <c r="AL53" s="151" t="s">
        <v>118</v>
      </c>
      <c r="AM53" s="151" t="s">
        <v>70</v>
      </c>
      <c r="AN53" s="151" t="s">
        <v>70</v>
      </c>
      <c r="AO53" s="151" t="s">
        <v>70</v>
      </c>
      <c r="AP53" s="152" t="s">
        <v>26</v>
      </c>
      <c r="AQ53" s="153" t="s">
        <v>26</v>
      </c>
      <c r="AR53" s="160" t="str">
        <f>IF(BF53&gt;(BB53*1.1),"yes","no")</f>
        <v>yes</v>
      </c>
      <c r="AS53" s="160" t="str">
        <f>IF(BK53&gt;(BI53*1.1),"yes","no")</f>
        <v>no</v>
      </c>
      <c r="AT53" s="160" t="str">
        <f>IF(BK53&gt;(BI53*1.1),"yes","no")</f>
        <v>no</v>
      </c>
      <c r="AU53" s="154">
        <v>0</v>
      </c>
      <c r="AV53" s="153" t="s">
        <v>89</v>
      </c>
      <c r="AW53" s="153" t="s">
        <v>89</v>
      </c>
      <c r="AX53" s="153" t="s">
        <v>89</v>
      </c>
      <c r="AY53" s="153" t="s">
        <v>114</v>
      </c>
      <c r="AZ53" s="153" t="s">
        <v>114</v>
      </c>
      <c r="BA53" s="154" t="s">
        <v>114</v>
      </c>
      <c r="BB53" s="152">
        <v>100000</v>
      </c>
      <c r="BC53" s="153">
        <v>100000</v>
      </c>
      <c r="BD53" s="153">
        <v>100000</v>
      </c>
      <c r="BE53" s="157" t="s">
        <v>114</v>
      </c>
      <c r="BF53" s="157" t="s">
        <v>114</v>
      </c>
      <c r="BG53" s="157"/>
      <c r="BH53" s="155"/>
      <c r="BI53" s="152">
        <v>101632</v>
      </c>
      <c r="BJ53" s="153">
        <v>90201</v>
      </c>
      <c r="BK53" s="153">
        <v>94892</v>
      </c>
      <c r="BL53" s="153" t="s">
        <v>920</v>
      </c>
      <c r="BM53" s="153" t="s">
        <v>920</v>
      </c>
      <c r="BN53" s="154">
        <f>SUMIF(BI53:BM53,"&gt;0",BI53:BM53)</f>
        <v>286725</v>
      </c>
      <c r="BO53" s="156"/>
      <c r="BP53" s="148"/>
      <c r="BQ53" s="153"/>
      <c r="BR53" s="153"/>
      <c r="BS53" s="152"/>
      <c r="BT53" s="148"/>
      <c r="BU53" s="148"/>
      <c r="BV53" s="148"/>
      <c r="BW53" s="148"/>
      <c r="BX53" s="154">
        <f>SUM(BS53:BW53)</f>
        <v>0</v>
      </c>
      <c r="BY53" s="143"/>
      <c r="BZ53" s="143"/>
      <c r="CA53" s="143"/>
      <c r="CB53" s="143"/>
      <c r="CC53" s="143"/>
      <c r="CD53" s="155"/>
    </row>
    <row r="54" spans="1:82" ht="14.5">
      <c r="A54" s="143" t="s">
        <v>478</v>
      </c>
      <c r="B54" s="143" t="s">
        <v>1642</v>
      </c>
      <c r="C54" s="144" t="s">
        <v>1638</v>
      </c>
      <c r="D54" s="144" t="s">
        <v>1052</v>
      </c>
      <c r="E54" s="145" t="s">
        <v>763</v>
      </c>
      <c r="F54" s="143" t="str">
        <f>SUBSTITUTE(E54," ","")</f>
        <v>76004184598</v>
      </c>
      <c r="G54" s="143" t="s">
        <v>1450</v>
      </c>
      <c r="H54" s="143" t="s">
        <v>81</v>
      </c>
      <c r="I54" s="143">
        <v>6646</v>
      </c>
      <c r="J54" s="143">
        <v>-27.254443999999999</v>
      </c>
      <c r="K54" s="143">
        <v>120.584444</v>
      </c>
      <c r="L54" s="143" t="s">
        <v>292</v>
      </c>
      <c r="M54" s="143" t="s">
        <v>292</v>
      </c>
      <c r="N54" s="143" t="s">
        <v>292</v>
      </c>
      <c r="O54" s="143"/>
      <c r="P54" s="143"/>
      <c r="Q54" s="143" t="s">
        <v>225</v>
      </c>
      <c r="R54" s="143" t="s">
        <v>79</v>
      </c>
      <c r="S54" s="147"/>
      <c r="T54" s="143"/>
      <c r="U54" s="143"/>
      <c r="V54" s="143"/>
      <c r="W54" s="143"/>
      <c r="X54" s="143"/>
      <c r="Y54" s="143"/>
      <c r="Z54" s="143"/>
      <c r="AA54" s="143"/>
      <c r="AB54" s="143"/>
      <c r="AC54" s="143"/>
      <c r="AD54" s="153"/>
      <c r="AE54" s="153"/>
      <c r="AF54" s="143"/>
      <c r="AG54" s="155"/>
      <c r="AH54" s="150" t="s">
        <v>37</v>
      </c>
      <c r="AI54" s="151" t="s">
        <v>76</v>
      </c>
      <c r="AJ54" s="151" t="s">
        <v>70</v>
      </c>
      <c r="AK54" s="151" t="s">
        <v>70</v>
      </c>
      <c r="AL54" s="151" t="s">
        <v>118</v>
      </c>
      <c r="AM54" s="151" t="s">
        <v>70</v>
      </c>
      <c r="AN54" s="151" t="s">
        <v>70</v>
      </c>
      <c r="AO54" s="151" t="s">
        <v>70</v>
      </c>
      <c r="AP54" s="152"/>
      <c r="AQ54" s="153"/>
      <c r="AR54" s="153"/>
      <c r="AS54" s="153"/>
      <c r="AT54" s="153"/>
      <c r="AU54" s="154"/>
      <c r="AV54" s="153" t="s">
        <v>106</v>
      </c>
      <c r="AW54" s="153" t="s">
        <v>106</v>
      </c>
      <c r="AX54" s="153" t="s">
        <v>106</v>
      </c>
      <c r="AY54" s="153" t="s">
        <v>106</v>
      </c>
      <c r="AZ54" s="153" t="s">
        <v>106</v>
      </c>
      <c r="BA54" s="154" t="s">
        <v>114</v>
      </c>
      <c r="BB54" s="152">
        <v>152368</v>
      </c>
      <c r="BC54" s="153">
        <v>152368</v>
      </c>
      <c r="BD54" s="153">
        <v>152368</v>
      </c>
      <c r="BE54" s="157">
        <v>152368</v>
      </c>
      <c r="BF54" s="157">
        <v>152368</v>
      </c>
      <c r="BG54" s="157"/>
      <c r="BH54" s="155"/>
      <c r="BI54" s="152" t="s">
        <v>920</v>
      </c>
      <c r="BJ54" s="153" t="s">
        <v>920</v>
      </c>
      <c r="BK54" s="153" t="s">
        <v>920</v>
      </c>
      <c r="BL54" s="153">
        <v>122829</v>
      </c>
      <c r="BM54" s="153">
        <v>123040</v>
      </c>
      <c r="BN54" s="154">
        <f>SUMIF(BI54:BM54,"&gt;0",BI54:BM54)</f>
        <v>245869</v>
      </c>
      <c r="BO54" s="156"/>
      <c r="BP54" s="148"/>
      <c r="BQ54" s="153"/>
      <c r="BR54" s="153"/>
      <c r="BS54" s="152"/>
      <c r="BT54" s="148"/>
      <c r="BU54" s="148"/>
      <c r="BV54" s="148"/>
      <c r="BW54" s="148"/>
      <c r="BX54" s="154">
        <f>SUM(BS54:BW54)</f>
        <v>0</v>
      </c>
      <c r="BY54" s="143"/>
      <c r="BZ54" s="143"/>
      <c r="CA54" s="143"/>
      <c r="CB54" s="143"/>
      <c r="CC54" s="143"/>
      <c r="CD54" s="155"/>
    </row>
    <row r="55" spans="1:82" ht="14.5">
      <c r="A55" s="143" t="s">
        <v>398</v>
      </c>
      <c r="B55" s="143" t="s">
        <v>1362</v>
      </c>
      <c r="C55" s="144" t="s">
        <v>628</v>
      </c>
      <c r="D55" s="144" t="s">
        <v>1131</v>
      </c>
      <c r="E55" s="145" t="s">
        <v>629</v>
      </c>
      <c r="F55" s="143" t="str">
        <f>SUBSTITUTE(E55," ","")</f>
        <v>67096412752</v>
      </c>
      <c r="G55" s="143" t="s">
        <v>454</v>
      </c>
      <c r="H55" s="143" t="s">
        <v>53</v>
      </c>
      <c r="I55" s="143">
        <v>4744</v>
      </c>
      <c r="J55" s="143">
        <v>-21.762661999999999</v>
      </c>
      <c r="K55" s="143">
        <v>147.955906</v>
      </c>
      <c r="L55" s="143" t="s">
        <v>292</v>
      </c>
      <c r="M55" s="143" t="s">
        <v>292</v>
      </c>
      <c r="N55" s="143" t="s">
        <v>292</v>
      </c>
      <c r="O55" s="143"/>
      <c r="P55" s="143"/>
      <c r="Q55" s="143" t="s">
        <v>29</v>
      </c>
      <c r="R55" s="143" t="s">
        <v>29</v>
      </c>
      <c r="S55" s="147"/>
      <c r="T55" s="143"/>
      <c r="U55" s="143"/>
      <c r="V55" s="143"/>
      <c r="W55" s="143"/>
      <c r="X55" s="143"/>
      <c r="Y55" s="143"/>
      <c r="Z55" s="143"/>
      <c r="AA55" s="143"/>
      <c r="AB55" s="143"/>
      <c r="AC55" s="143"/>
      <c r="AD55" s="153"/>
      <c r="AE55" s="153"/>
      <c r="AF55" s="143"/>
      <c r="AG55" s="155"/>
      <c r="AH55" s="147" t="s">
        <v>26</v>
      </c>
      <c r="AI55" s="146" t="s">
        <v>25</v>
      </c>
      <c r="AJ55" s="146" t="s">
        <v>1363</v>
      </c>
      <c r="AK55" s="146" t="s">
        <v>608</v>
      </c>
      <c r="AL55" s="143" t="s">
        <v>43</v>
      </c>
      <c r="AM55" s="143"/>
      <c r="AN55" s="143"/>
      <c r="AO55" s="143"/>
      <c r="AP55" s="152"/>
      <c r="AQ55" s="153"/>
      <c r="AR55" s="153"/>
      <c r="AS55" s="153"/>
      <c r="AT55" s="153"/>
      <c r="AU55" s="154"/>
      <c r="AV55" s="153" t="s">
        <v>41</v>
      </c>
      <c r="AW55" s="153" t="s">
        <v>41</v>
      </c>
      <c r="AX55" s="153" t="s">
        <v>41</v>
      </c>
      <c r="AY55" s="153" t="s">
        <v>41</v>
      </c>
      <c r="AZ55" s="153" t="s">
        <v>98</v>
      </c>
      <c r="BA55" s="154" t="s">
        <v>98</v>
      </c>
      <c r="BB55" s="152">
        <v>1919577</v>
      </c>
      <c r="BC55" s="153">
        <v>1919577</v>
      </c>
      <c r="BD55" s="153">
        <v>1919577</v>
      </c>
      <c r="BE55" s="157">
        <v>1919577</v>
      </c>
      <c r="BF55" s="157">
        <v>1599721</v>
      </c>
      <c r="BG55" s="157"/>
      <c r="BH55" s="155"/>
      <c r="BI55" s="152">
        <v>1077794</v>
      </c>
      <c r="BJ55" s="153">
        <v>1123196</v>
      </c>
      <c r="BK55" s="153">
        <v>1225425</v>
      </c>
      <c r="BL55" s="153">
        <v>1273036</v>
      </c>
      <c r="BM55" s="153">
        <v>1577160</v>
      </c>
      <c r="BN55" s="154">
        <f>SUMIF(BI55:BM55,"&gt;0",BI55:BM55)</f>
        <v>6276611</v>
      </c>
      <c r="BO55" s="156"/>
      <c r="BP55" s="148"/>
      <c r="BQ55" s="153"/>
      <c r="BR55" s="153"/>
      <c r="BS55" s="152">
        <v>14710000</v>
      </c>
      <c r="BT55" s="148">
        <v>15922000</v>
      </c>
      <c r="BU55" s="148">
        <v>17126000</v>
      </c>
      <c r="BV55" s="148">
        <v>17530000</v>
      </c>
      <c r="BW55" s="148">
        <v>18896000</v>
      </c>
      <c r="BX55" s="154">
        <f>SUM(BS55:BW55)</f>
        <v>84184000</v>
      </c>
      <c r="BY55" s="143">
        <f>BI55/BS55</f>
        <v>7.3269476546566958E-2</v>
      </c>
      <c r="BZ55" s="143">
        <f>BJ55/BT55</f>
        <v>7.0543650295189053E-2</v>
      </c>
      <c r="CA55" s="143">
        <f>BK55/BU55</f>
        <v>7.1553485927829036E-2</v>
      </c>
      <c r="CB55" s="143">
        <f>BL55/BV55</f>
        <v>7.2620422133485449E-2</v>
      </c>
      <c r="CC55" s="143">
        <f>BM55/BW55</f>
        <v>8.3465283657917014E-2</v>
      </c>
      <c r="CD55" s="155">
        <f>AVERAGE(BY55:CC55)</f>
        <v>7.4290463712197496E-2</v>
      </c>
    </row>
    <row r="56" spans="1:82" ht="14.5">
      <c r="A56" s="143" t="s">
        <v>321</v>
      </c>
      <c r="B56" s="143"/>
      <c r="C56" s="144" t="s">
        <v>628</v>
      </c>
      <c r="D56" s="144" t="s">
        <v>1131</v>
      </c>
      <c r="E56" s="145" t="s">
        <v>629</v>
      </c>
      <c r="F56" s="143" t="str">
        <f>SUBSTITUTE(E56," ","")</f>
        <v>67096412752</v>
      </c>
      <c r="G56" s="143" t="s">
        <v>1132</v>
      </c>
      <c r="H56" s="143" t="s">
        <v>53</v>
      </c>
      <c r="I56" s="143">
        <v>4717</v>
      </c>
      <c r="J56" s="143">
        <v>-23.73</v>
      </c>
      <c r="K56" s="143">
        <v>148.79166699999999</v>
      </c>
      <c r="L56" s="143">
        <v>1967</v>
      </c>
      <c r="M56" s="143">
        <v>55</v>
      </c>
      <c r="N56" s="143">
        <v>2046</v>
      </c>
      <c r="O56" s="143"/>
      <c r="P56" s="143"/>
      <c r="Q56" s="143" t="s">
        <v>29</v>
      </c>
      <c r="R56" s="143" t="s">
        <v>29</v>
      </c>
      <c r="S56" s="147"/>
      <c r="T56" s="143"/>
      <c r="U56" s="143"/>
      <c r="V56" s="143"/>
      <c r="W56" s="143"/>
      <c r="X56" s="143"/>
      <c r="Y56" s="143"/>
      <c r="Z56" s="143"/>
      <c r="AA56" s="143"/>
      <c r="AB56" s="143"/>
      <c r="AC56" s="143"/>
      <c r="AD56" s="153"/>
      <c r="AE56" s="153"/>
      <c r="AF56" s="143"/>
      <c r="AG56" s="155"/>
      <c r="AH56" s="147" t="s">
        <v>26</v>
      </c>
      <c r="AI56" s="146" t="s">
        <v>69</v>
      </c>
      <c r="AJ56" s="146" t="s">
        <v>1133</v>
      </c>
      <c r="AK56" s="146" t="s">
        <v>21</v>
      </c>
      <c r="AL56" s="143" t="s">
        <v>43</v>
      </c>
      <c r="AM56" s="143"/>
      <c r="AN56" s="143"/>
      <c r="AO56" s="143"/>
      <c r="AP56" s="152"/>
      <c r="AQ56" s="153"/>
      <c r="AR56" s="153"/>
      <c r="AS56" s="153"/>
      <c r="AT56" s="153"/>
      <c r="AU56" s="154"/>
      <c r="AV56" s="153" t="s">
        <v>41</v>
      </c>
      <c r="AW56" s="153" t="s">
        <v>41</v>
      </c>
      <c r="AX56" s="153" t="s">
        <v>41</v>
      </c>
      <c r="AY56" s="153" t="s">
        <v>41</v>
      </c>
      <c r="AZ56" s="153" t="s">
        <v>73</v>
      </c>
      <c r="BA56" s="154" t="s">
        <v>73</v>
      </c>
      <c r="BB56" s="152">
        <v>768909</v>
      </c>
      <c r="BC56" s="153">
        <v>768909</v>
      </c>
      <c r="BD56" s="153">
        <v>768909</v>
      </c>
      <c r="BE56" s="157">
        <v>768909</v>
      </c>
      <c r="BF56" s="157">
        <v>733663</v>
      </c>
      <c r="BG56" s="157"/>
      <c r="BH56" s="155"/>
      <c r="BI56" s="152">
        <v>626090</v>
      </c>
      <c r="BJ56" s="153">
        <v>592763</v>
      </c>
      <c r="BK56" s="153">
        <v>637207</v>
      </c>
      <c r="BL56" s="153">
        <v>592875</v>
      </c>
      <c r="BM56" s="153">
        <v>688951</v>
      </c>
      <c r="BN56" s="154">
        <f>SUMIF(BI56:BM56,"&gt;0",BI56:BM56)</f>
        <v>3137886</v>
      </c>
      <c r="BO56" s="156"/>
      <c r="BP56" s="148"/>
      <c r="BQ56" s="153"/>
      <c r="BR56" s="153"/>
      <c r="BS56" s="152">
        <v>14592000</v>
      </c>
      <c r="BT56" s="148">
        <v>13376000</v>
      </c>
      <c r="BU56" s="148">
        <v>6603000</v>
      </c>
      <c r="BV56" s="148">
        <v>5545000</v>
      </c>
      <c r="BW56" s="148">
        <v>6224000</v>
      </c>
      <c r="BX56" s="154">
        <f>SUM(BS56:BW56)</f>
        <v>46340000</v>
      </c>
      <c r="BY56" s="143">
        <f>BI56/BS56</f>
        <v>4.2906387061403511E-2</v>
      </c>
      <c r="BZ56" s="143">
        <f>BJ56/BT56</f>
        <v>4.4315415669856459E-2</v>
      </c>
      <c r="CA56" s="143">
        <f>BK56/BU56</f>
        <v>9.6502650310464941E-2</v>
      </c>
      <c r="CB56" s="143">
        <f>BL56/BV56</f>
        <v>0.10692064923354373</v>
      </c>
      <c r="CC56" s="143">
        <f>BM56/BW56</f>
        <v>0.11069264138817481</v>
      </c>
      <c r="CD56" s="155">
        <f>AVERAGE(BY56:CC56)</f>
        <v>8.0267548732688682E-2</v>
      </c>
    </row>
    <row r="57" spans="1:82" ht="14.5">
      <c r="A57" s="143" t="s">
        <v>338</v>
      </c>
      <c r="B57" s="143"/>
      <c r="C57" s="144" t="s">
        <v>628</v>
      </c>
      <c r="D57" s="144" t="s">
        <v>1131</v>
      </c>
      <c r="E57" s="145" t="s">
        <v>629</v>
      </c>
      <c r="F57" s="143" t="str">
        <f>SUBSTITUTE(E57," ","")</f>
        <v>67096412752</v>
      </c>
      <c r="G57" s="143" t="s">
        <v>454</v>
      </c>
      <c r="H57" s="143" t="s">
        <v>53</v>
      </c>
      <c r="I57" s="143">
        <v>4744</v>
      </c>
      <c r="J57" s="143">
        <v>-22.156908000000001</v>
      </c>
      <c r="K57" s="143">
        <v>148.05994699999999</v>
      </c>
      <c r="L57" s="143">
        <v>2014</v>
      </c>
      <c r="M57" s="143">
        <v>8</v>
      </c>
      <c r="N57" s="143">
        <v>2048</v>
      </c>
      <c r="O57" s="143"/>
      <c r="P57" s="143"/>
      <c r="Q57" s="143" t="s">
        <v>29</v>
      </c>
      <c r="R57" s="143" t="s">
        <v>29</v>
      </c>
      <c r="S57" s="147"/>
      <c r="T57" s="143"/>
      <c r="U57" s="143"/>
      <c r="V57" s="143"/>
      <c r="W57" s="143"/>
      <c r="X57" s="143"/>
      <c r="Y57" s="143"/>
      <c r="Z57" s="143"/>
      <c r="AA57" s="143"/>
      <c r="AB57" s="143"/>
      <c r="AC57" s="143"/>
      <c r="AD57" s="153"/>
      <c r="AE57" s="153"/>
      <c r="AF57" s="143"/>
      <c r="AG57" s="155"/>
      <c r="AH57" s="147" t="s">
        <v>26</v>
      </c>
      <c r="AI57" s="146" t="s">
        <v>25</v>
      </c>
      <c r="AJ57" s="146" t="s">
        <v>1189</v>
      </c>
      <c r="AK57" s="146" t="s">
        <v>21</v>
      </c>
      <c r="AL57" s="143" t="s">
        <v>43</v>
      </c>
      <c r="AM57" s="143" t="s">
        <v>77</v>
      </c>
      <c r="AN57" s="143">
        <v>15</v>
      </c>
      <c r="AO57" s="143"/>
      <c r="AP57" s="152" t="s">
        <v>26</v>
      </c>
      <c r="AQ57" s="153" t="s">
        <v>26</v>
      </c>
      <c r="AR57" s="160" t="str">
        <f>IF(BF57&gt;(BD57*1.1),"yes","no")</f>
        <v>no</v>
      </c>
      <c r="AS57" s="160" t="str">
        <f>IF(BM57&gt;(BJ57*1.1),"yes","no")</f>
        <v>yes</v>
      </c>
      <c r="AT57" s="160" t="str">
        <f>IF(BM57&gt;(BI57*1.1),"yes","no")</f>
        <v>yes</v>
      </c>
      <c r="AU57" s="154">
        <v>0</v>
      </c>
      <c r="AV57" s="153" t="s">
        <v>59</v>
      </c>
      <c r="AW57" s="148" t="s">
        <v>92</v>
      </c>
      <c r="AX57" s="153" t="s">
        <v>80</v>
      </c>
      <c r="AY57" s="153" t="s">
        <v>80</v>
      </c>
      <c r="AZ57" s="153" t="s">
        <v>80</v>
      </c>
      <c r="BA57" s="154" t="s">
        <v>114</v>
      </c>
      <c r="BB57" s="152">
        <v>501577</v>
      </c>
      <c r="BC57" s="153">
        <v>530917</v>
      </c>
      <c r="BD57" s="153">
        <v>565568</v>
      </c>
      <c r="BE57" s="157">
        <v>567118</v>
      </c>
      <c r="BF57" s="157">
        <v>598851</v>
      </c>
      <c r="BG57" s="157"/>
      <c r="BH57" s="155"/>
      <c r="BI57" s="152">
        <v>444672</v>
      </c>
      <c r="BJ57" s="153">
        <v>530917</v>
      </c>
      <c r="BK57" s="153">
        <v>503745</v>
      </c>
      <c r="BL57" s="153">
        <v>563343</v>
      </c>
      <c r="BM57" s="153">
        <v>590564</v>
      </c>
      <c r="BN57" s="154">
        <f>SUMIF(BI57:BM57,"&gt;0",BI57:BM57)</f>
        <v>2633241</v>
      </c>
      <c r="BO57" s="156">
        <v>271895</v>
      </c>
      <c r="BP57" s="148">
        <v>271895</v>
      </c>
      <c r="BQ57" s="153">
        <v>271895</v>
      </c>
      <c r="BR57" s="153">
        <v>271895</v>
      </c>
      <c r="BS57" s="152">
        <v>6916000</v>
      </c>
      <c r="BT57" s="148">
        <v>8570000</v>
      </c>
      <c r="BU57" s="148">
        <v>7934000</v>
      </c>
      <c r="BV57" s="148">
        <v>8698000</v>
      </c>
      <c r="BW57" s="148">
        <v>7806000</v>
      </c>
      <c r="BX57" s="154">
        <f>SUM(BS57:BW57)</f>
        <v>39924000</v>
      </c>
      <c r="BY57" s="143">
        <f>BI57/BS57</f>
        <v>6.4296124927703868E-2</v>
      </c>
      <c r="BZ57" s="143">
        <f>BJ57/BT57</f>
        <v>6.1950641773628939E-2</v>
      </c>
      <c r="CA57" s="143">
        <f>BK57/BU57</f>
        <v>6.3491933450970511E-2</v>
      </c>
      <c r="CB57" s="143">
        <f>BL57/BV57</f>
        <v>6.4766957921361237E-2</v>
      </c>
      <c r="CC57" s="143">
        <f>BM57/BW57</f>
        <v>7.56551370740456E-2</v>
      </c>
      <c r="CD57" s="155">
        <f>AVERAGE(BY57:CC57)</f>
        <v>6.6032159029542029E-2</v>
      </c>
    </row>
    <row r="58" spans="1:82" ht="14.5">
      <c r="A58" s="143" t="s">
        <v>498</v>
      </c>
      <c r="B58" s="143"/>
      <c r="C58" s="144" t="s">
        <v>628</v>
      </c>
      <c r="D58" s="144" t="s">
        <v>1131</v>
      </c>
      <c r="E58" s="145" t="s">
        <v>629</v>
      </c>
      <c r="F58" s="143" t="str">
        <f>SUBSTITUTE(E58," ","")</f>
        <v>67096412752</v>
      </c>
      <c r="G58" s="143" t="s">
        <v>454</v>
      </c>
      <c r="H58" s="143" t="s">
        <v>53</v>
      </c>
      <c r="I58" s="143">
        <v>4744</v>
      </c>
      <c r="J58" s="143">
        <v>-22.259558999999999</v>
      </c>
      <c r="K58" s="143">
        <v>148.17841000000001</v>
      </c>
      <c r="L58" s="143">
        <v>1972</v>
      </c>
      <c r="M58" s="143">
        <v>50</v>
      </c>
      <c r="N58" s="143">
        <v>2059</v>
      </c>
      <c r="O58" s="143"/>
      <c r="P58" s="143"/>
      <c r="Q58" s="143" t="s">
        <v>29</v>
      </c>
      <c r="R58" s="143" t="s">
        <v>29</v>
      </c>
      <c r="S58" s="147"/>
      <c r="T58" s="143"/>
      <c r="U58" s="143"/>
      <c r="V58" s="143"/>
      <c r="W58" s="143"/>
      <c r="X58" s="143"/>
      <c r="Y58" s="143"/>
      <c r="Z58" s="143"/>
      <c r="AA58" s="143"/>
      <c r="AB58" s="143"/>
      <c r="AC58" s="143"/>
      <c r="AD58" s="153"/>
      <c r="AE58" s="153"/>
      <c r="AF58" s="143"/>
      <c r="AG58" s="155"/>
      <c r="AH58" s="147" t="s">
        <v>26</v>
      </c>
      <c r="AI58" s="146" t="s">
        <v>25</v>
      </c>
      <c r="AJ58" s="146" t="s">
        <v>1363</v>
      </c>
      <c r="AK58" s="146" t="s">
        <v>21</v>
      </c>
      <c r="AL58" s="143" t="s">
        <v>43</v>
      </c>
      <c r="AM58" s="143"/>
      <c r="AN58" s="143"/>
      <c r="AO58" s="143"/>
      <c r="AP58" s="152"/>
      <c r="AQ58" s="153"/>
      <c r="AR58" s="153"/>
      <c r="AS58" s="153"/>
      <c r="AT58" s="153"/>
      <c r="AU58" s="154"/>
      <c r="AV58" s="153" t="s">
        <v>1028</v>
      </c>
      <c r="AW58" s="153" t="s">
        <v>106</v>
      </c>
      <c r="AX58" s="153" t="s">
        <v>106</v>
      </c>
      <c r="AY58" s="153" t="s">
        <v>73</v>
      </c>
      <c r="AZ58" s="153" t="s">
        <v>73</v>
      </c>
      <c r="BA58" s="154" t="s">
        <v>73</v>
      </c>
      <c r="BB58" s="152">
        <v>514037</v>
      </c>
      <c r="BC58" s="153">
        <v>514037</v>
      </c>
      <c r="BD58" s="153">
        <v>514037</v>
      </c>
      <c r="BE58" s="157">
        <v>586447</v>
      </c>
      <c r="BF58" s="157">
        <v>586447</v>
      </c>
      <c r="BG58" s="157"/>
      <c r="BH58" s="155"/>
      <c r="BI58" s="152">
        <v>352473</v>
      </c>
      <c r="BJ58" s="153">
        <v>387870</v>
      </c>
      <c r="BK58" s="153">
        <v>461480</v>
      </c>
      <c r="BL58" s="153">
        <v>497134</v>
      </c>
      <c r="BM58" s="153">
        <v>513581</v>
      </c>
      <c r="BN58" s="154">
        <f>SUMIF(BI58:BM58,"&gt;0",BI58:BM58)</f>
        <v>2212538</v>
      </c>
      <c r="BO58" s="156"/>
      <c r="BP58" s="148"/>
      <c r="BQ58" s="153"/>
      <c r="BR58" s="153"/>
      <c r="BS58" s="152">
        <v>12110000</v>
      </c>
      <c r="BT58" s="148">
        <v>12700000</v>
      </c>
      <c r="BU58" s="148">
        <v>11866000</v>
      </c>
      <c r="BV58" s="148">
        <v>11566000</v>
      </c>
      <c r="BW58" s="148">
        <v>11784000</v>
      </c>
      <c r="BX58" s="154">
        <f>SUM(BS58:BW58)</f>
        <v>60026000</v>
      </c>
      <c r="BY58" s="143">
        <f>BI58/BS58</f>
        <v>2.9105945499587119E-2</v>
      </c>
      <c r="BZ58" s="143">
        <f>BJ58/BT58</f>
        <v>3.0540944881889763E-2</v>
      </c>
      <c r="CA58" s="143">
        <f>BK58/BU58</f>
        <v>3.8890948929715154E-2</v>
      </c>
      <c r="CB58" s="143">
        <f>BL58/BV58</f>
        <v>4.2982362095798025E-2</v>
      </c>
      <c r="CC58" s="143">
        <f>BM58/BW58</f>
        <v>4.3582909029192124E-2</v>
      </c>
      <c r="CD58" s="155">
        <f>AVERAGE(BY58:CC58)</f>
        <v>3.7020622087236436E-2</v>
      </c>
    </row>
    <row r="59" spans="1:82" ht="14.5">
      <c r="A59" s="143" t="s">
        <v>541</v>
      </c>
      <c r="B59" s="143"/>
      <c r="C59" s="144" t="s">
        <v>628</v>
      </c>
      <c r="D59" s="144" t="s">
        <v>1131</v>
      </c>
      <c r="E59" s="145" t="s">
        <v>629</v>
      </c>
      <c r="F59" s="143" t="str">
        <f>SUBSTITUTE(E59," ","")</f>
        <v>67096412752</v>
      </c>
      <c r="G59" s="143" t="s">
        <v>1668</v>
      </c>
      <c r="H59" s="143" t="s">
        <v>53</v>
      </c>
      <c r="I59" s="143">
        <v>4745</v>
      </c>
      <c r="J59" s="143">
        <v>-22.433056000000001</v>
      </c>
      <c r="K59" s="143">
        <v>148.27888899999999</v>
      </c>
      <c r="L59" s="143">
        <v>1974</v>
      </c>
      <c r="M59" s="143">
        <v>48</v>
      </c>
      <c r="N59" s="143">
        <v>2026</v>
      </c>
      <c r="O59" s="143"/>
      <c r="P59" s="143"/>
      <c r="Q59" s="143" t="s">
        <v>29</v>
      </c>
      <c r="R59" s="143" t="s">
        <v>29</v>
      </c>
      <c r="S59" s="147"/>
      <c r="T59" s="143"/>
      <c r="U59" s="143"/>
      <c r="V59" s="143"/>
      <c r="W59" s="143"/>
      <c r="X59" s="143"/>
      <c r="Y59" s="143"/>
      <c r="Z59" s="143"/>
      <c r="AA59" s="143"/>
      <c r="AB59" s="143"/>
      <c r="AC59" s="143"/>
      <c r="AD59" s="153"/>
      <c r="AE59" s="153"/>
      <c r="AF59" s="143"/>
      <c r="AG59" s="155"/>
      <c r="AH59" s="147" t="s">
        <v>26</v>
      </c>
      <c r="AI59" s="146" t="s">
        <v>25</v>
      </c>
      <c r="AJ59" s="146" t="s">
        <v>1363</v>
      </c>
      <c r="AK59" s="146" t="s">
        <v>21</v>
      </c>
      <c r="AL59" s="143" t="s">
        <v>43</v>
      </c>
      <c r="AM59" s="143" t="s">
        <v>77</v>
      </c>
      <c r="AN59" s="143">
        <v>7</v>
      </c>
      <c r="AO59" s="143"/>
      <c r="AP59" s="152" t="s">
        <v>26</v>
      </c>
      <c r="AQ59" s="153" t="s">
        <v>37</v>
      </c>
      <c r="AR59" s="148" t="s">
        <v>1094</v>
      </c>
      <c r="AS59" s="160" t="str">
        <f>IF(BM59&gt;(BJ59*1.1),"yes","no")</f>
        <v>yes</v>
      </c>
      <c r="AT59" s="160" t="str">
        <f>IF(BM59&gt;(BI59*1.1),"yes","no")</f>
        <v>yes</v>
      </c>
      <c r="AU59" s="154">
        <v>0</v>
      </c>
      <c r="AV59" s="153" t="s">
        <v>1028</v>
      </c>
      <c r="AW59" s="153" t="s">
        <v>106</v>
      </c>
      <c r="AX59" s="153" t="s">
        <v>106</v>
      </c>
      <c r="AY59" s="153" t="s">
        <v>106</v>
      </c>
      <c r="AZ59" s="153" t="s">
        <v>80</v>
      </c>
      <c r="BA59" s="154" t="s">
        <v>80</v>
      </c>
      <c r="BB59" s="152">
        <v>509228</v>
      </c>
      <c r="BC59" s="153">
        <v>509228</v>
      </c>
      <c r="BD59" s="153">
        <v>509228</v>
      </c>
      <c r="BE59" s="157">
        <v>509228</v>
      </c>
      <c r="BF59" s="157">
        <v>330975</v>
      </c>
      <c r="BG59" s="157"/>
      <c r="BH59" s="155"/>
      <c r="BI59" s="152">
        <v>350537</v>
      </c>
      <c r="BJ59" s="153">
        <v>364887</v>
      </c>
      <c r="BK59" s="153">
        <v>411694</v>
      </c>
      <c r="BL59" s="153">
        <v>417183</v>
      </c>
      <c r="BM59" s="153">
        <v>438393</v>
      </c>
      <c r="BN59" s="154">
        <f>SUMIF(BI59:BM59,"&gt;0",BI59:BM59)</f>
        <v>1982694</v>
      </c>
      <c r="BO59" s="156"/>
      <c r="BP59" s="148"/>
      <c r="BQ59" s="153"/>
      <c r="BR59" s="153"/>
      <c r="BS59" s="152">
        <v>9468000</v>
      </c>
      <c r="BT59" s="148">
        <v>10106000</v>
      </c>
      <c r="BU59" s="148">
        <v>9784000</v>
      </c>
      <c r="BV59" s="148">
        <v>9926000</v>
      </c>
      <c r="BW59" s="148">
        <v>8978000</v>
      </c>
      <c r="BX59" s="154">
        <f>SUM(BS59:BW59)</f>
        <v>48262000</v>
      </c>
      <c r="BY59" s="143">
        <f>BI59/BS59</f>
        <v>3.702334178284749E-2</v>
      </c>
      <c r="BZ59" s="143">
        <f>BJ59/BT59</f>
        <v>3.610597664753612E-2</v>
      </c>
      <c r="CA59" s="143">
        <f>BK59/BU59</f>
        <v>4.2078291087489776E-2</v>
      </c>
      <c r="CB59" s="143">
        <f>BL59/BV59</f>
        <v>4.2029316945395932E-2</v>
      </c>
      <c r="CC59" s="143">
        <f>BM59/BW59</f>
        <v>4.8829694809534419E-2</v>
      </c>
      <c r="CD59" s="155">
        <f>AVERAGE(BY59:CC59)</f>
        <v>4.121332425456075E-2</v>
      </c>
    </row>
    <row r="60" spans="1:82" ht="14.5">
      <c r="A60" s="143" t="s">
        <v>363</v>
      </c>
      <c r="B60" s="143"/>
      <c r="C60" s="144" t="s">
        <v>628</v>
      </c>
      <c r="D60" s="144" t="s">
        <v>1131</v>
      </c>
      <c r="E60" s="145" t="s">
        <v>629</v>
      </c>
      <c r="F60" s="143" t="str">
        <f>SUBSTITUTE(E60," ","")</f>
        <v>67096412752</v>
      </c>
      <c r="G60" s="143" t="s">
        <v>1251</v>
      </c>
      <c r="H60" s="143" t="s">
        <v>53</v>
      </c>
      <c r="I60" s="143">
        <v>4774</v>
      </c>
      <c r="J60" s="143">
        <v>-22.043056</v>
      </c>
      <c r="K60" s="143">
        <v>148.26750000000001</v>
      </c>
      <c r="L60" s="143">
        <v>2013</v>
      </c>
      <c r="M60" s="143">
        <v>9</v>
      </c>
      <c r="N60" s="143">
        <v>2037</v>
      </c>
      <c r="O60" s="143"/>
      <c r="P60" s="143"/>
      <c r="Q60" s="143" t="s">
        <v>29</v>
      </c>
      <c r="R60" s="143" t="s">
        <v>29</v>
      </c>
      <c r="S60" s="147"/>
      <c r="T60" s="143"/>
      <c r="U60" s="143"/>
      <c r="V60" s="143"/>
      <c r="W60" s="143"/>
      <c r="X60" s="143"/>
      <c r="Y60" s="143"/>
      <c r="Z60" s="143"/>
      <c r="AA60" s="143"/>
      <c r="AB60" s="143"/>
      <c r="AC60" s="143"/>
      <c r="AD60" s="153"/>
      <c r="AE60" s="153"/>
      <c r="AF60" s="143"/>
      <c r="AG60" s="155"/>
      <c r="AH60" s="147" t="s">
        <v>26</v>
      </c>
      <c r="AI60" s="146" t="s">
        <v>25</v>
      </c>
      <c r="AJ60" s="146" t="s">
        <v>1189</v>
      </c>
      <c r="AK60" s="146" t="s">
        <v>21</v>
      </c>
      <c r="AL60" s="143" t="s">
        <v>43</v>
      </c>
      <c r="AM60" s="143"/>
      <c r="AN60" s="143"/>
      <c r="AO60" s="143"/>
      <c r="AP60" s="152"/>
      <c r="AQ60" s="153"/>
      <c r="AR60" s="153"/>
      <c r="AS60" s="153"/>
      <c r="AT60" s="153"/>
      <c r="AU60" s="154"/>
      <c r="AV60" s="153" t="s">
        <v>59</v>
      </c>
      <c r="AW60" s="153" t="s">
        <v>18</v>
      </c>
      <c r="AX60" s="153" t="s">
        <v>18</v>
      </c>
      <c r="AY60" s="153" t="s">
        <v>18</v>
      </c>
      <c r="AZ60" s="153" t="s">
        <v>98</v>
      </c>
      <c r="BA60" s="154" t="s">
        <v>98</v>
      </c>
      <c r="BB60" s="152">
        <v>260259</v>
      </c>
      <c r="BC60" s="153">
        <v>335095</v>
      </c>
      <c r="BD60" s="153">
        <v>335095</v>
      </c>
      <c r="BE60" s="157">
        <v>335095</v>
      </c>
      <c r="BF60" s="157">
        <v>293212</v>
      </c>
      <c r="BG60" s="157"/>
      <c r="BH60" s="155"/>
      <c r="BI60" s="152">
        <v>284962</v>
      </c>
      <c r="BJ60" s="153">
        <v>311071</v>
      </c>
      <c r="BK60" s="153">
        <v>268883</v>
      </c>
      <c r="BL60" s="153">
        <v>271875</v>
      </c>
      <c r="BM60" s="153">
        <v>244552</v>
      </c>
      <c r="BN60" s="154">
        <f>SUMIF(BI60:BM60,"&gt;0",BI60:BM60)</f>
        <v>1381343</v>
      </c>
      <c r="BO60" s="156"/>
      <c r="BP60" s="148"/>
      <c r="BQ60" s="153"/>
      <c r="BR60" s="153"/>
      <c r="BS60" s="152">
        <v>5248000</v>
      </c>
      <c r="BT60" s="148">
        <v>5112000</v>
      </c>
      <c r="BU60" s="148">
        <v>4356000</v>
      </c>
      <c r="BV60" s="148">
        <v>4340000</v>
      </c>
      <c r="BW60" s="148">
        <v>3856000</v>
      </c>
      <c r="BX60" s="154">
        <f>SUM(BS60:BW60)</f>
        <v>22912000</v>
      </c>
      <c r="BY60" s="143">
        <f>BI60/BS60</f>
        <v>5.4299161585365852E-2</v>
      </c>
      <c r="BZ60" s="143">
        <f>BJ60/BT60</f>
        <v>6.0851134585289512E-2</v>
      </c>
      <c r="CA60" s="143">
        <f>BK60/BU60</f>
        <v>6.1727043158861343E-2</v>
      </c>
      <c r="CB60" s="143">
        <f>BL60/BV60</f>
        <v>6.2644009216589858E-2</v>
      </c>
      <c r="CC60" s="143">
        <f>BM60/BW60</f>
        <v>6.3421161825726144E-2</v>
      </c>
      <c r="CD60" s="155">
        <f>AVERAGE(BY60:CC60)</f>
        <v>6.0588502074366543E-2</v>
      </c>
    </row>
    <row r="61" spans="1:82" ht="14.5">
      <c r="A61" s="143" t="s">
        <v>483</v>
      </c>
      <c r="B61" s="143"/>
      <c r="C61" s="144"/>
      <c r="D61" s="159" t="s">
        <v>1667</v>
      </c>
      <c r="E61" s="145" t="s">
        <v>629</v>
      </c>
      <c r="F61" s="143" t="str">
        <f>SUBSTITUTE(E61," ","")</f>
        <v>67096412752</v>
      </c>
      <c r="G61" s="143" t="s">
        <v>1668</v>
      </c>
      <c r="H61" s="143" t="s">
        <v>53</v>
      </c>
      <c r="I61" s="143">
        <v>4745</v>
      </c>
      <c r="J61" s="143">
        <v>-22.753748999999999</v>
      </c>
      <c r="K61" s="143">
        <v>148.46092999999999</v>
      </c>
      <c r="L61" s="143" t="s">
        <v>292</v>
      </c>
      <c r="M61" s="143" t="s">
        <v>292</v>
      </c>
      <c r="N61" s="143" t="s">
        <v>292</v>
      </c>
      <c r="O61" s="143" t="s">
        <v>55</v>
      </c>
      <c r="P61" s="173" t="s">
        <v>2084</v>
      </c>
      <c r="Q61" s="143" t="s">
        <v>29</v>
      </c>
      <c r="R61" s="143" t="s">
        <v>29</v>
      </c>
      <c r="S61" s="147"/>
      <c r="T61" s="143"/>
      <c r="U61" s="143"/>
      <c r="V61" s="143"/>
      <c r="W61" s="143"/>
      <c r="X61" s="143"/>
      <c r="Y61" s="143"/>
      <c r="Z61" s="143"/>
      <c r="AA61" s="143"/>
      <c r="AB61" s="143"/>
      <c r="AC61" s="143"/>
      <c r="AD61" s="153"/>
      <c r="AE61" s="153"/>
      <c r="AF61" s="143"/>
      <c r="AG61" s="155"/>
      <c r="AH61" s="147" t="s">
        <v>26</v>
      </c>
      <c r="AI61" s="146" t="s">
        <v>25</v>
      </c>
      <c r="AJ61" s="146" t="s">
        <v>1189</v>
      </c>
      <c r="AK61" s="146" t="s">
        <v>21</v>
      </c>
      <c r="AL61" s="146" t="s">
        <v>43</v>
      </c>
      <c r="AM61" s="143"/>
      <c r="AN61" s="143"/>
      <c r="AO61" s="143"/>
      <c r="AP61" s="152"/>
      <c r="AQ61" s="153"/>
      <c r="AR61" s="153"/>
      <c r="AS61" s="153"/>
      <c r="AT61" s="153"/>
      <c r="AU61" s="154"/>
      <c r="AV61" s="153" t="s">
        <v>106</v>
      </c>
      <c r="AW61" s="153" t="s">
        <v>106</v>
      </c>
      <c r="AX61" s="153" t="s">
        <v>106</v>
      </c>
      <c r="AY61" s="153" t="s">
        <v>106</v>
      </c>
      <c r="AZ61" s="153" t="s">
        <v>106</v>
      </c>
      <c r="BA61" s="154" t="s">
        <v>114</v>
      </c>
      <c r="BB61" s="152">
        <v>100000</v>
      </c>
      <c r="BC61" s="153">
        <v>100000</v>
      </c>
      <c r="BD61" s="153">
        <v>100000</v>
      </c>
      <c r="BE61" s="153">
        <v>100000</v>
      </c>
      <c r="BF61" s="153">
        <v>100000</v>
      </c>
      <c r="BG61" s="157"/>
      <c r="BH61" s="155"/>
      <c r="BI61" s="152" t="s">
        <v>920</v>
      </c>
      <c r="BJ61" s="153" t="s">
        <v>920</v>
      </c>
      <c r="BK61" s="153" t="s">
        <v>920</v>
      </c>
      <c r="BL61" s="153" t="s">
        <v>920</v>
      </c>
      <c r="BM61" s="153" t="s">
        <v>920</v>
      </c>
      <c r="BN61" s="154">
        <f>SUMIF(BI61:BM61,"&gt;0",BI61:BM61)</f>
        <v>0</v>
      </c>
      <c r="BO61" s="156"/>
      <c r="BP61" s="148"/>
      <c r="BQ61" s="153"/>
      <c r="BR61" s="153"/>
      <c r="BS61" s="156" t="s">
        <v>1096</v>
      </c>
      <c r="BT61" s="148" t="s">
        <v>1096</v>
      </c>
      <c r="BU61" s="148" t="s">
        <v>1096</v>
      </c>
      <c r="BV61" s="148" t="s">
        <v>1096</v>
      </c>
      <c r="BW61" s="148" t="s">
        <v>1096</v>
      </c>
      <c r="BX61" s="154">
        <f>SUM(BS61:BW61)</f>
        <v>0</v>
      </c>
      <c r="BY61" s="143" t="e">
        <f>BI61/BS61</f>
        <v>#VALUE!</v>
      </c>
      <c r="BZ61" s="143" t="e">
        <f>BJ61/BT61</f>
        <v>#VALUE!</v>
      </c>
      <c r="CA61" s="143" t="e">
        <f>BK61/BU61</f>
        <v>#VALUE!</v>
      </c>
      <c r="CB61" s="143" t="e">
        <f>BL61/BV61</f>
        <v>#VALUE!</v>
      </c>
      <c r="CC61" s="143" t="e">
        <f>BM61/BW61</f>
        <v>#VALUE!</v>
      </c>
      <c r="CD61" s="155" t="e">
        <f>AVERAGE(BY61:CC61)</f>
        <v>#VALUE!</v>
      </c>
    </row>
    <row r="62" spans="1:82" ht="14.5">
      <c r="A62" s="143" t="s">
        <v>534</v>
      </c>
      <c r="B62" s="143"/>
      <c r="C62" s="144"/>
      <c r="D62" s="144" t="s">
        <v>1851</v>
      </c>
      <c r="E62" s="145" t="s">
        <v>1852</v>
      </c>
      <c r="F62" s="143" t="str">
        <f>SUBSTITUTE(E62," ","")</f>
        <v>25003824244</v>
      </c>
      <c r="G62" s="143" t="s">
        <v>1149</v>
      </c>
      <c r="H62" s="143" t="s">
        <v>31</v>
      </c>
      <c r="I62" s="143">
        <v>2330</v>
      </c>
      <c r="J62" s="143">
        <v>-32.482930000000003</v>
      </c>
      <c r="K62" s="143">
        <v>151.14278100000001</v>
      </c>
      <c r="L62" s="143" t="s">
        <v>292</v>
      </c>
      <c r="M62" s="143" t="s">
        <v>292</v>
      </c>
      <c r="N62" s="143" t="s">
        <v>292</v>
      </c>
      <c r="O62" s="143"/>
      <c r="P62" s="143"/>
      <c r="Q62" s="143" t="s">
        <v>29</v>
      </c>
      <c r="R62" s="143" t="s">
        <v>29</v>
      </c>
      <c r="S62" s="147"/>
      <c r="T62" s="143"/>
      <c r="U62" s="143"/>
      <c r="V62" s="143"/>
      <c r="W62" s="143"/>
      <c r="X62" s="143"/>
      <c r="Y62" s="143"/>
      <c r="Z62" s="143"/>
      <c r="AA62" s="143"/>
      <c r="AB62" s="143"/>
      <c r="AC62" s="143"/>
      <c r="AD62" s="153"/>
      <c r="AE62" s="153"/>
      <c r="AF62" s="143"/>
      <c r="AG62" s="155"/>
      <c r="AH62" s="147" t="s">
        <v>26</v>
      </c>
      <c r="AI62" s="146" t="s">
        <v>69</v>
      </c>
      <c r="AJ62" s="146" t="s">
        <v>1853</v>
      </c>
      <c r="AK62" s="146" t="s">
        <v>608</v>
      </c>
      <c r="AL62" s="143" t="s">
        <v>134</v>
      </c>
      <c r="AM62" s="143"/>
      <c r="AN62" s="143"/>
      <c r="AO62" s="143"/>
      <c r="AP62" s="152"/>
      <c r="AQ62" s="153"/>
      <c r="AR62" s="153"/>
      <c r="AS62" s="153"/>
      <c r="AT62" s="153"/>
      <c r="AU62" s="154"/>
      <c r="AV62" s="153" t="s">
        <v>106</v>
      </c>
      <c r="AW62" s="153" t="s">
        <v>106</v>
      </c>
      <c r="AX62" s="153" t="s">
        <v>106</v>
      </c>
      <c r="AY62" s="153" t="s">
        <v>106</v>
      </c>
      <c r="AZ62" s="153" t="s">
        <v>106</v>
      </c>
      <c r="BA62" s="154" t="s">
        <v>114</v>
      </c>
      <c r="BB62" s="152">
        <v>376348</v>
      </c>
      <c r="BC62" s="153">
        <v>376348</v>
      </c>
      <c r="BD62" s="153">
        <v>376348</v>
      </c>
      <c r="BE62" s="157">
        <v>376348</v>
      </c>
      <c r="BF62" s="157">
        <v>376348</v>
      </c>
      <c r="BG62" s="157"/>
      <c r="BH62" s="155"/>
      <c r="BI62" s="152" t="s">
        <v>920</v>
      </c>
      <c r="BJ62" s="153" t="s">
        <v>920</v>
      </c>
      <c r="BK62" s="153">
        <v>100388</v>
      </c>
      <c r="BL62" s="153" t="s">
        <v>921</v>
      </c>
      <c r="BM62" s="153" t="s">
        <v>921</v>
      </c>
      <c r="BN62" s="154">
        <f>SUMIF(BI62:BM62,"&gt;0",BI62:BM62)</f>
        <v>100388</v>
      </c>
      <c r="BO62" s="156"/>
      <c r="BP62" s="148"/>
      <c r="BQ62" s="153"/>
      <c r="BR62" s="153">
        <v>45123</v>
      </c>
      <c r="BS62" s="152">
        <f>1804652+2013486</f>
        <v>3818138</v>
      </c>
      <c r="BT62" s="148">
        <f>2979572+1694275</f>
        <v>4673847</v>
      </c>
      <c r="BU62" s="148">
        <f>1213920+2332364</f>
        <v>3546284</v>
      </c>
      <c r="BV62" s="148">
        <f>1332678+3107814</f>
        <v>4440492</v>
      </c>
      <c r="BW62" s="148">
        <f>1474016+3007867</f>
        <v>4481883</v>
      </c>
      <c r="BX62" s="154">
        <f>SUM(BS62:BW62)</f>
        <v>20960644</v>
      </c>
      <c r="BY62" s="143" t="e">
        <f>BI62/BS62</f>
        <v>#VALUE!</v>
      </c>
      <c r="BZ62" s="143" t="e">
        <f>BJ62/BT62</f>
        <v>#VALUE!</v>
      </c>
      <c r="CA62" s="143">
        <f>BK62/BU62</f>
        <v>2.8307941495943359E-2</v>
      </c>
      <c r="CB62" s="143" t="e">
        <f>BL62/BV62</f>
        <v>#VALUE!</v>
      </c>
      <c r="CC62" s="143" t="e">
        <f>BM62/BW62</f>
        <v>#VALUE!</v>
      </c>
      <c r="CD62" s="155" t="e">
        <f>AVERAGE(BY62:CC62)</f>
        <v>#VALUE!</v>
      </c>
    </row>
    <row r="63" spans="1:82" ht="14.5">
      <c r="A63" s="143" t="s">
        <v>507</v>
      </c>
      <c r="B63" s="143" t="s">
        <v>1745</v>
      </c>
      <c r="C63" s="144" t="s">
        <v>1746</v>
      </c>
      <c r="D63" s="144" t="s">
        <v>1747</v>
      </c>
      <c r="E63" s="145" t="s">
        <v>1748</v>
      </c>
      <c r="F63" s="143" t="str">
        <f>SUBSTITUTE(E63," ","")</f>
        <v>19000019625</v>
      </c>
      <c r="G63" s="143" t="s">
        <v>298</v>
      </c>
      <c r="H63" s="143" t="s">
        <v>31</v>
      </c>
      <c r="I63" s="143">
        <v>2505</v>
      </c>
      <c r="J63" s="143">
        <v>-34.463394999999998</v>
      </c>
      <c r="K63" s="143">
        <v>150.88766200000001</v>
      </c>
      <c r="L63" s="143">
        <v>1928</v>
      </c>
      <c r="M63" s="143">
        <v>94</v>
      </c>
      <c r="N63" s="143">
        <v>0</v>
      </c>
      <c r="O63" s="143"/>
      <c r="P63" s="143"/>
      <c r="Q63" s="143" t="s">
        <v>131</v>
      </c>
      <c r="R63" s="143" t="s">
        <v>65</v>
      </c>
      <c r="S63" s="147" t="s">
        <v>612</v>
      </c>
      <c r="T63" s="143">
        <v>1</v>
      </c>
      <c r="U63" s="143" t="s">
        <v>1749</v>
      </c>
      <c r="V63" s="143" t="s">
        <v>1750</v>
      </c>
      <c r="W63" s="143" t="s">
        <v>1370</v>
      </c>
      <c r="X63" s="143" t="s">
        <v>1125</v>
      </c>
      <c r="Y63" s="143" t="s">
        <v>1751</v>
      </c>
      <c r="Z63" s="143" t="s">
        <v>1752</v>
      </c>
      <c r="AA63" s="143" t="s">
        <v>1753</v>
      </c>
      <c r="AB63" s="153">
        <v>0</v>
      </c>
      <c r="AC63" s="153" t="s">
        <v>1044</v>
      </c>
      <c r="AD63" s="153"/>
      <c r="AE63" s="153"/>
      <c r="AF63" s="143" t="s">
        <v>1072</v>
      </c>
      <c r="AG63" s="155" t="s">
        <v>1754</v>
      </c>
      <c r="AH63" s="150" t="s">
        <v>37</v>
      </c>
      <c r="AI63" s="151" t="s">
        <v>76</v>
      </c>
      <c r="AJ63" s="151" t="s">
        <v>70</v>
      </c>
      <c r="AK63" s="151" t="s">
        <v>70</v>
      </c>
      <c r="AL63" s="151" t="s">
        <v>118</v>
      </c>
      <c r="AM63" s="151" t="s">
        <v>70</v>
      </c>
      <c r="AN63" s="151" t="s">
        <v>70</v>
      </c>
      <c r="AO63" s="151" t="s">
        <v>70</v>
      </c>
      <c r="AP63" s="152"/>
      <c r="AQ63" s="153"/>
      <c r="AR63" s="153"/>
      <c r="AS63" s="153"/>
      <c r="AT63" s="153"/>
      <c r="AU63" s="154"/>
      <c r="AV63" s="153" t="s">
        <v>1028</v>
      </c>
      <c r="AW63" s="153" t="s">
        <v>106</v>
      </c>
      <c r="AX63" s="153" t="s">
        <v>106</v>
      </c>
      <c r="AY63" s="153" t="s">
        <v>106</v>
      </c>
      <c r="AZ63" s="153" t="s">
        <v>106</v>
      </c>
      <c r="BA63" s="154" t="s">
        <v>114</v>
      </c>
      <c r="BB63" s="152">
        <v>11040213</v>
      </c>
      <c r="BC63" s="153">
        <v>11040213</v>
      </c>
      <c r="BD63" s="153">
        <v>11040213</v>
      </c>
      <c r="BE63" s="157">
        <v>11040213</v>
      </c>
      <c r="BF63" s="157">
        <v>11040213</v>
      </c>
      <c r="BG63" s="157"/>
      <c r="BH63" s="155"/>
      <c r="BI63" s="152">
        <v>6191218</v>
      </c>
      <c r="BJ63" s="153">
        <v>6270953</v>
      </c>
      <c r="BK63" s="153">
        <v>6134432</v>
      </c>
      <c r="BL63" s="153">
        <v>6103130</v>
      </c>
      <c r="BM63" s="153">
        <v>6260763</v>
      </c>
      <c r="BN63" s="154">
        <f>SUMIF(BI63:BM63,"&gt;0",BI63:BM63)</f>
        <v>30960496</v>
      </c>
      <c r="BO63" s="156"/>
      <c r="BP63" s="148"/>
      <c r="BQ63" s="153"/>
      <c r="BR63" s="153"/>
      <c r="BS63" s="152"/>
      <c r="BT63" s="148"/>
      <c r="BU63" s="148"/>
      <c r="BV63" s="148"/>
      <c r="BW63" s="148"/>
      <c r="BX63" s="154">
        <f>SUM(BS63:BW63)</f>
        <v>0</v>
      </c>
      <c r="BY63" s="143"/>
      <c r="BZ63" s="143"/>
      <c r="CA63" s="143"/>
      <c r="CB63" s="143"/>
      <c r="CC63" s="143"/>
      <c r="CD63" s="155"/>
    </row>
    <row r="64" spans="1:82" ht="14.5">
      <c r="A64" s="143" t="s">
        <v>589</v>
      </c>
      <c r="B64" s="143" t="s">
        <v>1017</v>
      </c>
      <c r="C64" s="144" t="s">
        <v>840</v>
      </c>
      <c r="D64" s="144" t="s">
        <v>1747</v>
      </c>
      <c r="E64" s="145" t="s">
        <v>841</v>
      </c>
      <c r="F64" s="143" t="str">
        <f>SUBSTITUTE(E64," ","")</f>
        <v>16000011058</v>
      </c>
      <c r="G64" s="143" t="s">
        <v>292</v>
      </c>
      <c r="H64" s="143" t="s">
        <v>292</v>
      </c>
      <c r="I64" s="143" t="s">
        <v>292</v>
      </c>
      <c r="J64" s="143" t="s">
        <v>292</v>
      </c>
      <c r="K64" s="143" t="s">
        <v>292</v>
      </c>
      <c r="L64" s="143">
        <v>1972</v>
      </c>
      <c r="M64" s="143">
        <v>50</v>
      </c>
      <c r="N64" s="143">
        <v>0</v>
      </c>
      <c r="O64" s="143"/>
      <c r="P64" s="143"/>
      <c r="Q64" s="143" t="s">
        <v>131</v>
      </c>
      <c r="R64" s="143" t="s">
        <v>65</v>
      </c>
      <c r="S64" s="147" t="s">
        <v>612</v>
      </c>
      <c r="T64" s="143">
        <v>1</v>
      </c>
      <c r="U64" s="143" t="s">
        <v>2021</v>
      </c>
      <c r="V64" s="143" t="s">
        <v>2022</v>
      </c>
      <c r="W64" s="143" t="s">
        <v>2023</v>
      </c>
      <c r="X64" s="143" t="s">
        <v>1125</v>
      </c>
      <c r="Y64" s="143" t="s">
        <v>878</v>
      </c>
      <c r="Z64" s="143" t="s">
        <v>2024</v>
      </c>
      <c r="AA64" s="162">
        <v>44541</v>
      </c>
      <c r="AB64" s="153">
        <v>0</v>
      </c>
      <c r="AC64" s="153" t="s">
        <v>1044</v>
      </c>
      <c r="AD64" s="153"/>
      <c r="AE64" s="153"/>
      <c r="AF64" s="143" t="s">
        <v>1045</v>
      </c>
      <c r="AG64" s="155" t="s">
        <v>2025</v>
      </c>
      <c r="AH64" s="150" t="s">
        <v>37</v>
      </c>
      <c r="AI64" s="151" t="s">
        <v>76</v>
      </c>
      <c r="AJ64" s="151" t="s">
        <v>70</v>
      </c>
      <c r="AK64" s="151" t="s">
        <v>70</v>
      </c>
      <c r="AL64" s="151" t="s">
        <v>118</v>
      </c>
      <c r="AM64" s="151" t="s">
        <v>70</v>
      </c>
      <c r="AN64" s="151" t="s">
        <v>70</v>
      </c>
      <c r="AO64" s="151" t="s">
        <v>70</v>
      </c>
      <c r="AP64" s="152"/>
      <c r="AQ64" s="153"/>
      <c r="AR64" s="153"/>
      <c r="AS64" s="153"/>
      <c r="AT64" s="153"/>
      <c r="AU64" s="154"/>
      <c r="AV64" s="153" t="s">
        <v>1028</v>
      </c>
      <c r="AW64" s="153" t="s">
        <v>106</v>
      </c>
      <c r="AX64" s="153" t="s">
        <v>106</v>
      </c>
      <c r="AY64" s="153" t="s">
        <v>106</v>
      </c>
      <c r="AZ64" s="153" t="s">
        <v>98</v>
      </c>
      <c r="BA64" s="154" t="s">
        <v>98</v>
      </c>
      <c r="BB64" s="152">
        <v>109524</v>
      </c>
      <c r="BC64" s="153">
        <v>109524</v>
      </c>
      <c r="BD64" s="153">
        <v>109524</v>
      </c>
      <c r="BE64" s="157">
        <v>109524</v>
      </c>
      <c r="BF64" s="157">
        <v>131238</v>
      </c>
      <c r="BG64" s="157"/>
      <c r="BH64" s="155"/>
      <c r="BI64" s="152">
        <v>100351</v>
      </c>
      <c r="BJ64" s="153">
        <v>105507</v>
      </c>
      <c r="BK64" s="153">
        <v>105642</v>
      </c>
      <c r="BL64" s="153">
        <v>108159</v>
      </c>
      <c r="BM64" s="153">
        <v>111141</v>
      </c>
      <c r="BN64" s="154">
        <f>SUMIF(BI64:BM64,"&gt;0",BI64:BM64)</f>
        <v>530800</v>
      </c>
      <c r="BO64" s="156"/>
      <c r="BP64" s="148"/>
      <c r="BQ64" s="153"/>
      <c r="BR64" s="153"/>
      <c r="BS64" s="152"/>
      <c r="BT64" s="148"/>
      <c r="BU64" s="148"/>
      <c r="BV64" s="148"/>
      <c r="BW64" s="148"/>
      <c r="BX64" s="154">
        <f>SUM(BS64:BW64)</f>
        <v>0</v>
      </c>
      <c r="BY64" s="143"/>
      <c r="BZ64" s="143"/>
      <c r="CA64" s="143"/>
      <c r="CB64" s="143"/>
      <c r="CC64" s="143"/>
      <c r="CD64" s="155"/>
    </row>
    <row r="65" spans="1:82" ht="14.5">
      <c r="A65" s="143" t="s">
        <v>339</v>
      </c>
      <c r="B65" s="143" t="s">
        <v>1190</v>
      </c>
      <c r="C65" s="144" t="s">
        <v>645</v>
      </c>
      <c r="D65" s="144" t="s">
        <v>1191</v>
      </c>
      <c r="E65" s="145" t="s">
        <v>646</v>
      </c>
      <c r="F65" s="143" t="str">
        <f>SUBSTITUTE(E65," ","")</f>
        <v>13008421761</v>
      </c>
      <c r="G65" s="143" t="s">
        <v>1192</v>
      </c>
      <c r="H65" s="143" t="s">
        <v>31</v>
      </c>
      <c r="I65" s="143">
        <v>2577</v>
      </c>
      <c r="J65" s="143">
        <v>-34.506506999999999</v>
      </c>
      <c r="K65" s="143">
        <v>150.336196</v>
      </c>
      <c r="L65" s="143">
        <v>1929</v>
      </c>
      <c r="M65" s="143">
        <v>93</v>
      </c>
      <c r="N65" s="143">
        <v>0</v>
      </c>
      <c r="O65" s="143"/>
      <c r="P65" s="143"/>
      <c r="Q65" s="143" t="s">
        <v>1027</v>
      </c>
      <c r="R65" s="143" t="s">
        <v>40</v>
      </c>
      <c r="S65" s="147"/>
      <c r="T65" s="143"/>
      <c r="U65" s="143"/>
      <c r="V65" s="143"/>
      <c r="W65" s="143"/>
      <c r="X65" s="143"/>
      <c r="Y65" s="143"/>
      <c r="Z65" s="143"/>
      <c r="AA65" s="143"/>
      <c r="AB65" s="143"/>
      <c r="AC65" s="143"/>
      <c r="AD65" s="153"/>
      <c r="AE65" s="153"/>
      <c r="AF65" s="143"/>
      <c r="AG65" s="155"/>
      <c r="AH65" s="150" t="s">
        <v>37</v>
      </c>
      <c r="AI65" s="151" t="s">
        <v>76</v>
      </c>
      <c r="AJ65" s="151" t="s">
        <v>70</v>
      </c>
      <c r="AK65" s="151" t="s">
        <v>70</v>
      </c>
      <c r="AL65" s="151" t="s">
        <v>118</v>
      </c>
      <c r="AM65" s="151" t="s">
        <v>70</v>
      </c>
      <c r="AN65" s="151" t="s">
        <v>70</v>
      </c>
      <c r="AO65" s="151" t="s">
        <v>70</v>
      </c>
      <c r="AP65" s="152"/>
      <c r="AQ65" s="153"/>
      <c r="AR65" s="153"/>
      <c r="AS65" s="153"/>
      <c r="AT65" s="153"/>
      <c r="AU65" s="154"/>
      <c r="AV65" s="153" t="s">
        <v>41</v>
      </c>
      <c r="AW65" s="153" t="s">
        <v>41</v>
      </c>
      <c r="AX65" s="153" t="s">
        <v>41</v>
      </c>
      <c r="AY65" s="153" t="s">
        <v>41</v>
      </c>
      <c r="AZ65" s="153" t="s">
        <v>98</v>
      </c>
      <c r="BA65" s="154" t="s">
        <v>98</v>
      </c>
      <c r="BB65" s="152">
        <v>1213534</v>
      </c>
      <c r="BC65" s="153">
        <v>1213534</v>
      </c>
      <c r="BD65" s="153">
        <v>1213534</v>
      </c>
      <c r="BE65" s="157">
        <v>1213534</v>
      </c>
      <c r="BF65" s="157">
        <v>1051888</v>
      </c>
      <c r="BG65" s="157"/>
      <c r="BH65" s="155"/>
      <c r="BI65" s="152">
        <v>1204957</v>
      </c>
      <c r="BJ65" s="153">
        <v>1177114</v>
      </c>
      <c r="BK65" s="153">
        <v>1083511</v>
      </c>
      <c r="BL65" s="153">
        <v>994909</v>
      </c>
      <c r="BM65" s="153">
        <v>1019669</v>
      </c>
      <c r="BN65" s="154">
        <f>SUMIF(BI65:BM65,"&gt;0",BI65:BM65)</f>
        <v>5480160</v>
      </c>
      <c r="BO65" s="156"/>
      <c r="BP65" s="148"/>
      <c r="BQ65" s="153"/>
      <c r="BR65" s="153"/>
      <c r="BS65" s="152"/>
      <c r="BT65" s="148"/>
      <c r="BU65" s="148"/>
      <c r="BV65" s="148"/>
      <c r="BW65" s="148"/>
      <c r="BX65" s="154">
        <f>SUM(BS65:BW65)</f>
        <v>0</v>
      </c>
      <c r="BY65" s="143"/>
      <c r="BZ65" s="143"/>
      <c r="CA65" s="143"/>
      <c r="CB65" s="143"/>
      <c r="CC65" s="143"/>
      <c r="CD65" s="155"/>
    </row>
    <row r="66" spans="1:82" ht="14.5">
      <c r="A66" s="143" t="s">
        <v>341</v>
      </c>
      <c r="B66" s="143" t="s">
        <v>1196</v>
      </c>
      <c r="C66" s="144" t="s">
        <v>1194</v>
      </c>
      <c r="D66" s="144" t="s">
        <v>1191</v>
      </c>
      <c r="E66" s="145" t="s">
        <v>646</v>
      </c>
      <c r="F66" s="143" t="str">
        <f>SUBSTITUTE(E66," ","")</f>
        <v>13008421761</v>
      </c>
      <c r="G66" s="143" t="s">
        <v>1197</v>
      </c>
      <c r="H66" s="143" t="s">
        <v>31</v>
      </c>
      <c r="I66" s="143">
        <v>2579</v>
      </c>
      <c r="J66" s="143">
        <v>-34.784889999999997</v>
      </c>
      <c r="K66" s="143">
        <v>150.025994</v>
      </c>
      <c r="L66" s="143" t="s">
        <v>292</v>
      </c>
      <c r="M66" s="143" t="s">
        <v>292</v>
      </c>
      <c r="N66" s="143" t="s">
        <v>292</v>
      </c>
      <c r="O66" s="143"/>
      <c r="P66" s="143"/>
      <c r="Q66" s="143" t="s">
        <v>1027</v>
      </c>
      <c r="R66" s="143" t="s">
        <v>40</v>
      </c>
      <c r="S66" s="147"/>
      <c r="T66" s="143"/>
      <c r="U66" s="143"/>
      <c r="V66" s="143"/>
      <c r="W66" s="143"/>
      <c r="X66" s="143"/>
      <c r="Y66" s="143"/>
      <c r="Z66" s="143"/>
      <c r="AA66" s="143"/>
      <c r="AB66" s="143"/>
      <c r="AC66" s="143"/>
      <c r="AD66" s="153"/>
      <c r="AE66" s="153"/>
      <c r="AF66" s="143"/>
      <c r="AG66" s="155"/>
      <c r="AH66" s="150" t="s">
        <v>37</v>
      </c>
      <c r="AI66" s="151" t="s">
        <v>76</v>
      </c>
      <c r="AJ66" s="151" t="s">
        <v>70</v>
      </c>
      <c r="AK66" s="151" t="s">
        <v>70</v>
      </c>
      <c r="AL66" s="151" t="s">
        <v>118</v>
      </c>
      <c r="AM66" s="151" t="s">
        <v>70</v>
      </c>
      <c r="AN66" s="151" t="s">
        <v>70</v>
      </c>
      <c r="AO66" s="151" t="s">
        <v>70</v>
      </c>
      <c r="AP66" s="152"/>
      <c r="AQ66" s="153"/>
      <c r="AR66" s="153"/>
      <c r="AS66" s="153"/>
      <c r="AT66" s="153"/>
      <c r="AU66" s="154"/>
      <c r="AV66" s="153" t="s">
        <v>106</v>
      </c>
      <c r="AW66" s="153" t="s">
        <v>106</v>
      </c>
      <c r="AX66" s="153" t="s">
        <v>106</v>
      </c>
      <c r="AY66" s="153" t="s">
        <v>106</v>
      </c>
      <c r="AZ66" s="153" t="s">
        <v>106</v>
      </c>
      <c r="BA66" s="154" t="s">
        <v>114</v>
      </c>
      <c r="BB66" s="152">
        <v>125947</v>
      </c>
      <c r="BC66" s="153">
        <v>125947</v>
      </c>
      <c r="BD66" s="153">
        <v>125947</v>
      </c>
      <c r="BE66" s="157">
        <v>125947</v>
      </c>
      <c r="BF66" s="153">
        <v>125947</v>
      </c>
      <c r="BG66" s="157"/>
      <c r="BH66" s="155"/>
      <c r="BI66" s="152" t="s">
        <v>920</v>
      </c>
      <c r="BJ66" s="153">
        <v>103035</v>
      </c>
      <c r="BK66" s="153" t="s">
        <v>920</v>
      </c>
      <c r="BL66" s="153">
        <v>108569</v>
      </c>
      <c r="BM66" s="153" t="s">
        <v>920</v>
      </c>
      <c r="BN66" s="154">
        <f>SUMIF(BI66:BM66,"&gt;0",BI66:BM66)</f>
        <v>211604</v>
      </c>
      <c r="BO66" s="156"/>
      <c r="BP66" s="148"/>
      <c r="BQ66" s="153"/>
      <c r="BR66" s="153"/>
      <c r="BS66" s="152"/>
      <c r="BT66" s="148"/>
      <c r="BU66" s="148"/>
      <c r="BV66" s="148"/>
      <c r="BW66" s="148"/>
      <c r="BX66" s="154">
        <f>SUM(BS66:BW66)</f>
        <v>0</v>
      </c>
      <c r="BY66" s="143"/>
      <c r="BZ66" s="143"/>
      <c r="CA66" s="143"/>
      <c r="CB66" s="143"/>
      <c r="CC66" s="143"/>
      <c r="CD66" s="155"/>
    </row>
    <row r="67" spans="1:82" ht="14.5">
      <c r="A67" s="143" t="s">
        <v>340</v>
      </c>
      <c r="B67" s="143" t="s">
        <v>1193</v>
      </c>
      <c r="C67" s="144" t="s">
        <v>1194</v>
      </c>
      <c r="D67" s="144" t="s">
        <v>1191</v>
      </c>
      <c r="E67" s="145" t="s">
        <v>646</v>
      </c>
      <c r="F67" s="143" t="str">
        <f>SUBSTITUTE(E67," ","")</f>
        <v>13008421761</v>
      </c>
      <c r="G67" s="143" t="s">
        <v>1195</v>
      </c>
      <c r="H67" s="143" t="s">
        <v>31</v>
      </c>
      <c r="I67" s="143">
        <v>2571</v>
      </c>
      <c r="J67" s="143">
        <v>-34.194522999999997</v>
      </c>
      <c r="K67" s="143">
        <v>150.63235599999999</v>
      </c>
      <c r="L67" s="143" t="s">
        <v>292</v>
      </c>
      <c r="M67" s="143" t="s">
        <v>292</v>
      </c>
      <c r="N67" s="143" t="s">
        <v>292</v>
      </c>
      <c r="O67" s="143"/>
      <c r="P67" s="143"/>
      <c r="Q67" s="143" t="s">
        <v>1027</v>
      </c>
      <c r="R67" s="143" t="s">
        <v>40</v>
      </c>
      <c r="S67" s="147"/>
      <c r="T67" s="143"/>
      <c r="U67" s="143"/>
      <c r="V67" s="143"/>
      <c r="W67" s="143"/>
      <c r="X67" s="143"/>
      <c r="Y67" s="143"/>
      <c r="Z67" s="143"/>
      <c r="AA67" s="143"/>
      <c r="AB67" s="143"/>
      <c r="AC67" s="143"/>
      <c r="AD67" s="153"/>
      <c r="AE67" s="153"/>
      <c r="AF67" s="143"/>
      <c r="AG67" s="155"/>
      <c r="AH67" s="150" t="s">
        <v>37</v>
      </c>
      <c r="AI67" s="151" t="s">
        <v>76</v>
      </c>
      <c r="AJ67" s="151" t="s">
        <v>70</v>
      </c>
      <c r="AK67" s="151" t="s">
        <v>70</v>
      </c>
      <c r="AL67" s="151" t="s">
        <v>118</v>
      </c>
      <c r="AM67" s="151" t="s">
        <v>70</v>
      </c>
      <c r="AN67" s="151" t="s">
        <v>70</v>
      </c>
      <c r="AO67" s="151" t="s">
        <v>70</v>
      </c>
      <c r="AP67" s="152"/>
      <c r="AQ67" s="153"/>
      <c r="AR67" s="153"/>
      <c r="AS67" s="153"/>
      <c r="AT67" s="153"/>
      <c r="AU67" s="154"/>
      <c r="AV67" s="153" t="s">
        <v>106</v>
      </c>
      <c r="AW67" s="153" t="s">
        <v>106</v>
      </c>
      <c r="AX67" s="153" t="s">
        <v>106</v>
      </c>
      <c r="AY67" s="153" t="s">
        <v>106</v>
      </c>
      <c r="AZ67" s="153" t="s">
        <v>106</v>
      </c>
      <c r="BA67" s="154" t="s">
        <v>114</v>
      </c>
      <c r="BB67" s="152">
        <v>100000</v>
      </c>
      <c r="BC67" s="153">
        <v>100000</v>
      </c>
      <c r="BD67" s="153">
        <v>100000</v>
      </c>
      <c r="BE67" s="153">
        <v>100000</v>
      </c>
      <c r="BF67" s="153">
        <v>100000</v>
      </c>
      <c r="BG67" s="157"/>
      <c r="BH67" s="155"/>
      <c r="BI67" s="152" t="s">
        <v>920</v>
      </c>
      <c r="BJ67" s="153" t="s">
        <v>920</v>
      </c>
      <c r="BK67" s="153" t="s">
        <v>920</v>
      </c>
      <c r="BL67" s="153" t="s">
        <v>920</v>
      </c>
      <c r="BM67" s="153" t="s">
        <v>920</v>
      </c>
      <c r="BN67" s="154">
        <f>SUMIF(BI67:BM67,"&gt;0",BI67:BM67)</f>
        <v>0</v>
      </c>
      <c r="BO67" s="156"/>
      <c r="BP67" s="148"/>
      <c r="BQ67" s="153"/>
      <c r="BR67" s="153"/>
      <c r="BS67" s="152"/>
      <c r="BT67" s="148"/>
      <c r="BU67" s="148"/>
      <c r="BV67" s="148"/>
      <c r="BW67" s="148"/>
      <c r="BX67" s="154">
        <f>SUM(BS67:BW67)</f>
        <v>0</v>
      </c>
      <c r="BY67" s="143"/>
      <c r="BZ67" s="143"/>
      <c r="CA67" s="143"/>
      <c r="CB67" s="143"/>
      <c r="CC67" s="143"/>
      <c r="CD67" s="155"/>
    </row>
    <row r="68" spans="1:82" ht="14.5">
      <c r="A68" s="143" t="s">
        <v>342</v>
      </c>
      <c r="B68" s="143" t="s">
        <v>1194</v>
      </c>
      <c r="C68" s="144" t="s">
        <v>1194</v>
      </c>
      <c r="D68" s="144" t="s">
        <v>1191</v>
      </c>
      <c r="E68" s="145" t="s">
        <v>646</v>
      </c>
      <c r="F68" s="143" t="str">
        <f>SUBSTITUTE(E68," ","")</f>
        <v>13008421761</v>
      </c>
      <c r="G68" s="143" t="s">
        <v>1198</v>
      </c>
      <c r="H68" s="143" t="s">
        <v>74</v>
      </c>
      <c r="I68" s="143">
        <v>3216</v>
      </c>
      <c r="J68" s="143">
        <v>-38.229897000000001</v>
      </c>
      <c r="K68" s="143">
        <v>144.282217</v>
      </c>
      <c r="L68" s="143" t="s">
        <v>292</v>
      </c>
      <c r="M68" s="143" t="s">
        <v>292</v>
      </c>
      <c r="N68" s="143" t="s">
        <v>292</v>
      </c>
      <c r="O68" s="143"/>
      <c r="P68" s="143"/>
      <c r="Q68" s="143" t="s">
        <v>1027</v>
      </c>
      <c r="R68" s="143" t="s">
        <v>40</v>
      </c>
      <c r="S68" s="147"/>
      <c r="T68" s="143"/>
      <c r="U68" s="143"/>
      <c r="V68" s="143"/>
      <c r="W68" s="143"/>
      <c r="X68" s="143"/>
      <c r="Y68" s="143"/>
      <c r="Z68" s="143"/>
      <c r="AA68" s="143"/>
      <c r="AB68" s="143"/>
      <c r="AC68" s="143"/>
      <c r="AD68" s="153"/>
      <c r="AE68" s="153"/>
      <c r="AF68" s="143"/>
      <c r="AG68" s="155"/>
      <c r="AH68" s="150" t="s">
        <v>37</v>
      </c>
      <c r="AI68" s="151" t="s">
        <v>76</v>
      </c>
      <c r="AJ68" s="151" t="s">
        <v>70</v>
      </c>
      <c r="AK68" s="151" t="s">
        <v>70</v>
      </c>
      <c r="AL68" s="151" t="s">
        <v>118</v>
      </c>
      <c r="AM68" s="151" t="s">
        <v>70</v>
      </c>
      <c r="AN68" s="151" t="s">
        <v>70</v>
      </c>
      <c r="AO68" s="151" t="s">
        <v>70</v>
      </c>
      <c r="AP68" s="152"/>
      <c r="AQ68" s="153"/>
      <c r="AR68" s="153"/>
      <c r="AS68" s="153"/>
      <c r="AT68" s="153"/>
      <c r="AU68" s="154"/>
      <c r="AV68" s="153" t="s">
        <v>106</v>
      </c>
      <c r="AW68" s="153" t="s">
        <v>106</v>
      </c>
      <c r="AX68" s="153" t="s">
        <v>106</v>
      </c>
      <c r="AY68" s="153" t="s">
        <v>106</v>
      </c>
      <c r="AZ68" s="153" t="s">
        <v>106</v>
      </c>
      <c r="BA68" s="154" t="s">
        <v>114</v>
      </c>
      <c r="BB68" s="152">
        <v>100000</v>
      </c>
      <c r="BC68" s="153">
        <v>100000</v>
      </c>
      <c r="BD68" s="153">
        <v>100000</v>
      </c>
      <c r="BE68" s="153">
        <v>100000</v>
      </c>
      <c r="BF68" s="153">
        <v>100000</v>
      </c>
      <c r="BG68" s="157"/>
      <c r="BH68" s="155"/>
      <c r="BI68" s="152" t="s">
        <v>920</v>
      </c>
      <c r="BJ68" s="153" t="s">
        <v>920</v>
      </c>
      <c r="BK68" s="153" t="s">
        <v>920</v>
      </c>
      <c r="BL68" s="153" t="s">
        <v>920</v>
      </c>
      <c r="BM68" s="153" t="s">
        <v>920</v>
      </c>
      <c r="BN68" s="154">
        <f>SUMIF(BI68:BM68,"&gt;0",BI68:BM68)</f>
        <v>0</v>
      </c>
      <c r="BO68" s="156"/>
      <c r="BP68" s="148"/>
      <c r="BQ68" s="153"/>
      <c r="BR68" s="153"/>
      <c r="BS68" s="152"/>
      <c r="BT68" s="148"/>
      <c r="BU68" s="148"/>
      <c r="BV68" s="148"/>
      <c r="BW68" s="148"/>
      <c r="BX68" s="154">
        <f>SUM(BS68:BW68)</f>
        <v>0</v>
      </c>
      <c r="BY68" s="143"/>
      <c r="BZ68" s="143"/>
      <c r="CA68" s="143"/>
      <c r="CB68" s="143"/>
      <c r="CC68" s="143"/>
      <c r="CD68" s="155"/>
    </row>
    <row r="69" spans="1:82" ht="14.5">
      <c r="A69" s="143" t="s">
        <v>329</v>
      </c>
      <c r="B69" s="143" t="s">
        <v>1152</v>
      </c>
      <c r="C69" s="144" t="s">
        <v>1153</v>
      </c>
      <c r="D69" s="144" t="s">
        <v>1154</v>
      </c>
      <c r="E69" s="145" t="s">
        <v>718</v>
      </c>
      <c r="F69" s="143" t="str">
        <f>SUBSTITUTE(E69," ","")</f>
        <v>87010221486</v>
      </c>
      <c r="G69" s="143" t="s">
        <v>1155</v>
      </c>
      <c r="H69" s="143" t="s">
        <v>53</v>
      </c>
      <c r="I69" s="143">
        <v>4742</v>
      </c>
      <c r="J69" s="143">
        <v>-21.632839000000001</v>
      </c>
      <c r="K69" s="143">
        <v>148.115713</v>
      </c>
      <c r="L69" s="143" t="s">
        <v>292</v>
      </c>
      <c r="M69" s="143" t="s">
        <v>292</v>
      </c>
      <c r="N69" s="143" t="s">
        <v>292</v>
      </c>
      <c r="O69" s="143"/>
      <c r="P69" s="173" t="s">
        <v>2077</v>
      </c>
      <c r="Q69" s="143" t="s">
        <v>29</v>
      </c>
      <c r="R69" s="143" t="s">
        <v>29</v>
      </c>
      <c r="S69" s="147"/>
      <c r="T69" s="143"/>
      <c r="U69" s="143"/>
      <c r="V69" s="143"/>
      <c r="W69" s="143"/>
      <c r="X69" s="143"/>
      <c r="Y69" s="143"/>
      <c r="Z69" s="143"/>
      <c r="AA69" s="143"/>
      <c r="AB69" s="143"/>
      <c r="AC69" s="143"/>
      <c r="AD69" s="153"/>
      <c r="AE69" s="153"/>
      <c r="AF69" s="143"/>
      <c r="AG69" s="155"/>
      <c r="AH69" s="147" t="s">
        <v>26</v>
      </c>
      <c r="AI69" s="146" t="s">
        <v>69</v>
      </c>
      <c r="AJ69" s="146" t="s">
        <v>1133</v>
      </c>
      <c r="AK69" s="146" t="s">
        <v>21</v>
      </c>
      <c r="AL69" s="146" t="s">
        <v>43</v>
      </c>
      <c r="AM69" s="143"/>
      <c r="AN69" s="143"/>
      <c r="AO69" s="143"/>
      <c r="AP69" s="152"/>
      <c r="AQ69" s="153"/>
      <c r="AR69" s="153"/>
      <c r="AS69" s="153"/>
      <c r="AT69" s="153"/>
      <c r="AU69" s="154"/>
      <c r="AV69" s="153" t="s">
        <v>106</v>
      </c>
      <c r="AW69" s="153" t="s">
        <v>106</v>
      </c>
      <c r="AX69" s="153" t="s">
        <v>106</v>
      </c>
      <c r="AY69" s="153" t="s">
        <v>106</v>
      </c>
      <c r="AZ69" s="153" t="s">
        <v>106</v>
      </c>
      <c r="BA69" s="154" t="s">
        <v>114</v>
      </c>
      <c r="BB69" s="152">
        <v>226806</v>
      </c>
      <c r="BC69" s="153">
        <v>226806</v>
      </c>
      <c r="BD69" s="153">
        <v>226806</v>
      </c>
      <c r="BE69" s="153">
        <v>226806</v>
      </c>
      <c r="BF69" s="153">
        <v>226806</v>
      </c>
      <c r="BG69" s="157"/>
      <c r="BH69" s="155"/>
      <c r="BI69" s="152" t="s">
        <v>920</v>
      </c>
      <c r="BJ69" s="153" t="s">
        <v>920</v>
      </c>
      <c r="BK69" s="153" t="s">
        <v>920</v>
      </c>
      <c r="BL69" s="153" t="s">
        <v>920</v>
      </c>
      <c r="BM69" s="153" t="s">
        <v>920</v>
      </c>
      <c r="BN69" s="154">
        <f>SUMIF(BI69:BM69,"&gt;0",BI69:BM69)</f>
        <v>0</v>
      </c>
      <c r="BO69" s="156"/>
      <c r="BP69" s="148"/>
      <c r="BQ69" s="153"/>
      <c r="BR69" s="153"/>
      <c r="BS69" s="152" t="s">
        <v>1096</v>
      </c>
      <c r="BT69" s="148" t="s">
        <v>1096</v>
      </c>
      <c r="BU69" s="148" t="s">
        <v>1096</v>
      </c>
      <c r="BV69" s="148" t="s">
        <v>1096</v>
      </c>
      <c r="BW69" s="148" t="s">
        <v>1096</v>
      </c>
      <c r="BX69" s="154">
        <f>SUM(BS69:BW69)</f>
        <v>0</v>
      </c>
      <c r="BY69" s="143" t="e">
        <f>BI69/BS69</f>
        <v>#VALUE!</v>
      </c>
      <c r="BZ69" s="143" t="e">
        <f>BJ69/BT69</f>
        <v>#VALUE!</v>
      </c>
      <c r="CA69" s="143" t="e">
        <f>BK69/BU69</f>
        <v>#VALUE!</v>
      </c>
      <c r="CB69" s="143" t="e">
        <f>BL69/BV69</f>
        <v>#VALUE!</v>
      </c>
      <c r="CC69" s="143" t="e">
        <f>BM69/BW69</f>
        <v>#VALUE!</v>
      </c>
      <c r="CD69" s="155" t="e">
        <f>AVERAGE(BY69:CC69)</f>
        <v>#VALUE!</v>
      </c>
    </row>
    <row r="70" spans="1:82" ht="14.5">
      <c r="A70" s="143" t="s">
        <v>426</v>
      </c>
      <c r="B70" s="143" t="s">
        <v>1477</v>
      </c>
      <c r="C70" s="144" t="s">
        <v>1478</v>
      </c>
      <c r="D70" s="144" t="s">
        <v>1479</v>
      </c>
      <c r="E70" s="145" t="s">
        <v>1480</v>
      </c>
      <c r="F70" s="143" t="str">
        <f>SUBSTITUTE(E70," ","")</f>
        <v>54008689763</v>
      </c>
      <c r="G70" s="143" t="s">
        <v>1237</v>
      </c>
      <c r="H70" s="143" t="s">
        <v>81</v>
      </c>
      <c r="I70" s="143">
        <v>6167</v>
      </c>
      <c r="J70" s="143">
        <v>-32.227778000000001</v>
      </c>
      <c r="K70" s="143">
        <v>115.767222</v>
      </c>
      <c r="L70" s="143">
        <v>0</v>
      </c>
      <c r="M70" s="143"/>
      <c r="N70" s="143">
        <v>0</v>
      </c>
      <c r="O70" s="143"/>
      <c r="P70" s="143"/>
      <c r="Q70" s="143" t="s">
        <v>119</v>
      </c>
      <c r="R70" s="143" t="s">
        <v>58</v>
      </c>
      <c r="S70" s="147" t="s">
        <v>612</v>
      </c>
      <c r="T70" s="143">
        <v>1</v>
      </c>
      <c r="U70" s="143" t="s">
        <v>1481</v>
      </c>
      <c r="V70" s="143" t="s">
        <v>1482</v>
      </c>
      <c r="W70" s="143" t="s">
        <v>1124</v>
      </c>
      <c r="X70" s="143" t="s">
        <v>1371</v>
      </c>
      <c r="Y70" s="143" t="s">
        <v>1483</v>
      </c>
      <c r="Z70" s="143" t="s">
        <v>1484</v>
      </c>
      <c r="AA70" s="168">
        <v>44896</v>
      </c>
      <c r="AB70" s="153">
        <v>0</v>
      </c>
      <c r="AC70" s="153" t="s">
        <v>1044</v>
      </c>
      <c r="AD70" s="153"/>
      <c r="AE70" s="153"/>
      <c r="AF70" s="143" t="s">
        <v>1045</v>
      </c>
      <c r="AG70" s="155"/>
      <c r="AH70" s="147" t="s">
        <v>26</v>
      </c>
      <c r="AI70" s="151" t="s">
        <v>76</v>
      </c>
      <c r="AJ70" s="146"/>
      <c r="AK70" s="146" t="s">
        <v>70</v>
      </c>
      <c r="AL70" s="151" t="s">
        <v>118</v>
      </c>
      <c r="AM70" s="143"/>
      <c r="AN70" s="143"/>
      <c r="AO70" s="143"/>
      <c r="AP70" s="152"/>
      <c r="AQ70" s="153"/>
      <c r="AR70" s="153"/>
      <c r="AS70" s="153"/>
      <c r="AT70" s="153"/>
      <c r="AU70" s="154"/>
      <c r="AV70" s="153" t="s">
        <v>1028</v>
      </c>
      <c r="AW70" s="153" t="s">
        <v>106</v>
      </c>
      <c r="AX70" s="153" t="s">
        <v>106</v>
      </c>
      <c r="AY70" s="153" t="s">
        <v>106</v>
      </c>
      <c r="AZ70" s="153" t="s">
        <v>106</v>
      </c>
      <c r="BA70" s="154" t="s">
        <v>114</v>
      </c>
      <c r="BB70" s="152">
        <v>739256</v>
      </c>
      <c r="BC70" s="153">
        <v>739256</v>
      </c>
      <c r="BD70" s="153">
        <v>739256</v>
      </c>
      <c r="BE70" s="157">
        <v>739256</v>
      </c>
      <c r="BF70" s="157">
        <v>739256</v>
      </c>
      <c r="BG70" s="157"/>
      <c r="BH70" s="155"/>
      <c r="BI70" s="152">
        <v>660542</v>
      </c>
      <c r="BJ70" s="153">
        <v>727543</v>
      </c>
      <c r="BK70" s="153">
        <v>711680</v>
      </c>
      <c r="BL70" s="153">
        <v>663005</v>
      </c>
      <c r="BM70" s="153">
        <v>413542</v>
      </c>
      <c r="BN70" s="154">
        <f>SUMIF(BI70:BM70,"&gt;0",BI70:BM70)</f>
        <v>3176312</v>
      </c>
      <c r="BO70" s="156"/>
      <c r="BP70" s="148"/>
      <c r="BQ70" s="153"/>
      <c r="BR70" s="153"/>
      <c r="BS70" s="152"/>
      <c r="BT70" s="148"/>
      <c r="BU70" s="148"/>
      <c r="BV70" s="148"/>
      <c r="BW70" s="148"/>
      <c r="BX70" s="154">
        <f>SUM(BS70:BW70)</f>
        <v>0</v>
      </c>
      <c r="BY70" s="143"/>
      <c r="BZ70" s="143"/>
      <c r="CA70" s="143"/>
      <c r="CB70" s="143"/>
      <c r="CC70" s="143"/>
      <c r="CD70" s="155"/>
    </row>
    <row r="71" spans="1:82" ht="14.5">
      <c r="A71" s="143" t="s">
        <v>535</v>
      </c>
      <c r="B71" s="143" t="s">
        <v>1854</v>
      </c>
      <c r="C71" s="144" t="s">
        <v>1855</v>
      </c>
      <c r="D71" s="144" t="s">
        <v>1856</v>
      </c>
      <c r="E71" s="145" t="s">
        <v>1857</v>
      </c>
      <c r="F71" s="143" t="str">
        <f>SUBSTITUTE(E71," ","")</f>
        <v>72002765795</v>
      </c>
      <c r="G71" s="143" t="s">
        <v>1854</v>
      </c>
      <c r="H71" s="143" t="s">
        <v>53</v>
      </c>
      <c r="I71" s="143">
        <v>4123</v>
      </c>
      <c r="J71" s="143">
        <v>-27.555599999999998</v>
      </c>
      <c r="K71" s="143">
        <v>153.11500000000001</v>
      </c>
      <c r="L71" s="143" t="s">
        <v>292</v>
      </c>
      <c r="M71" s="143" t="s">
        <v>292</v>
      </c>
      <c r="N71" s="143" t="s">
        <v>292</v>
      </c>
      <c r="O71" s="143"/>
      <c r="P71" s="143"/>
      <c r="Q71" s="143" t="s">
        <v>287</v>
      </c>
      <c r="R71" s="143" t="s">
        <v>85</v>
      </c>
      <c r="S71" s="147" t="s">
        <v>612</v>
      </c>
      <c r="T71" s="143">
        <v>1</v>
      </c>
      <c r="U71" s="143" t="s">
        <v>1858</v>
      </c>
      <c r="V71" s="143" t="s">
        <v>1859</v>
      </c>
      <c r="W71" s="143" t="s">
        <v>1412</v>
      </c>
      <c r="X71" s="143" t="s">
        <v>85</v>
      </c>
      <c r="Y71" s="143" t="s">
        <v>1413</v>
      </c>
      <c r="Z71" s="143" t="s">
        <v>1286</v>
      </c>
      <c r="AA71" s="143" t="s">
        <v>1860</v>
      </c>
      <c r="AB71" s="153">
        <v>1545125</v>
      </c>
      <c r="AC71" s="153" t="s">
        <v>1861</v>
      </c>
      <c r="AD71" s="153">
        <f>2008305/3</f>
        <v>669435</v>
      </c>
      <c r="AE71" s="153">
        <v>669435</v>
      </c>
      <c r="AF71" s="143" t="s">
        <v>1045</v>
      </c>
      <c r="AG71" s="155" t="s">
        <v>1862</v>
      </c>
      <c r="AH71" s="150" t="s">
        <v>37</v>
      </c>
      <c r="AI71" s="151" t="s">
        <v>76</v>
      </c>
      <c r="AJ71" s="151" t="s">
        <v>70</v>
      </c>
      <c r="AK71" s="151" t="s">
        <v>70</v>
      </c>
      <c r="AL71" s="151" t="s">
        <v>118</v>
      </c>
      <c r="AM71" s="151" t="s">
        <v>70</v>
      </c>
      <c r="AN71" s="151" t="s">
        <v>70</v>
      </c>
      <c r="AO71" s="151" t="s">
        <v>70</v>
      </c>
      <c r="AP71" s="152"/>
      <c r="AQ71" s="153"/>
      <c r="AR71" s="153"/>
      <c r="AS71" s="153"/>
      <c r="AT71" s="153"/>
      <c r="AU71" s="154"/>
      <c r="AV71" s="153" t="s">
        <v>106</v>
      </c>
      <c r="AW71" s="153" t="s">
        <v>106</v>
      </c>
      <c r="AX71" s="153" t="s">
        <v>106</v>
      </c>
      <c r="AY71" s="153" t="s">
        <v>106</v>
      </c>
      <c r="AZ71" s="153" t="s">
        <v>106</v>
      </c>
      <c r="BA71" s="154" t="s">
        <v>114</v>
      </c>
      <c r="BB71" s="152">
        <v>186742</v>
      </c>
      <c r="BC71" s="153">
        <v>186742</v>
      </c>
      <c r="BD71" s="153">
        <v>186742</v>
      </c>
      <c r="BE71" s="153">
        <v>186742</v>
      </c>
      <c r="BF71" s="153">
        <v>186742</v>
      </c>
      <c r="BG71" s="157"/>
      <c r="BH71" s="155"/>
      <c r="BI71" s="152" t="s">
        <v>920</v>
      </c>
      <c r="BJ71" s="153" t="s">
        <v>920</v>
      </c>
      <c r="BK71" s="153" t="s">
        <v>920</v>
      </c>
      <c r="BL71" s="153" t="s">
        <v>920</v>
      </c>
      <c r="BM71" s="153" t="s">
        <v>920</v>
      </c>
      <c r="BN71" s="154">
        <f>SUMIF(BI71:BM71,"&gt;0",BI71:BM71)</f>
        <v>0</v>
      </c>
      <c r="BO71" s="156"/>
      <c r="BP71" s="148"/>
      <c r="BQ71" s="153"/>
      <c r="BR71" s="153"/>
      <c r="BS71" s="152"/>
      <c r="BT71" s="148"/>
      <c r="BU71" s="148"/>
      <c r="BV71" s="148"/>
      <c r="BW71" s="148"/>
      <c r="BX71" s="154">
        <f>SUM(BS71:BW71)</f>
        <v>0</v>
      </c>
      <c r="BY71" s="143"/>
      <c r="BZ71" s="143"/>
      <c r="CA71" s="143"/>
      <c r="CB71" s="143"/>
      <c r="CC71" s="143"/>
      <c r="CD71" s="155"/>
    </row>
    <row r="72" spans="1:82" ht="14.5">
      <c r="A72" s="143" t="s">
        <v>307</v>
      </c>
      <c r="B72" s="143"/>
      <c r="C72" s="144" t="s">
        <v>620</v>
      </c>
      <c r="D72" s="144" t="s">
        <v>1075</v>
      </c>
      <c r="E72" s="145" t="s">
        <v>1076</v>
      </c>
      <c r="F72" s="143" t="str">
        <f>SUBSTITUTE(E72," ","")</f>
        <v>43086015036</v>
      </c>
      <c r="G72" s="143" t="s">
        <v>292</v>
      </c>
      <c r="H72" s="143" t="s">
        <v>292</v>
      </c>
      <c r="I72" s="143" t="s">
        <v>292</v>
      </c>
      <c r="J72" s="143" t="s">
        <v>292</v>
      </c>
      <c r="K72" s="143" t="s">
        <v>292</v>
      </c>
      <c r="L72" s="143" t="s">
        <v>292</v>
      </c>
      <c r="M72" s="143" t="s">
        <v>292</v>
      </c>
      <c r="N72" s="143" t="s">
        <v>292</v>
      </c>
      <c r="O72" s="143"/>
      <c r="P72" s="143"/>
      <c r="Q72" s="143" t="s">
        <v>110</v>
      </c>
      <c r="R72" s="143" t="s">
        <v>58</v>
      </c>
      <c r="S72" s="147"/>
      <c r="T72" s="143"/>
      <c r="U72" s="143"/>
      <c r="V72" s="143"/>
      <c r="W72" s="143"/>
      <c r="X72" s="143"/>
      <c r="Y72" s="143"/>
      <c r="Z72" s="143"/>
      <c r="AA72" s="143"/>
      <c r="AB72" s="143"/>
      <c r="AC72" s="143"/>
      <c r="AD72" s="153"/>
      <c r="AE72" s="153"/>
      <c r="AF72" s="143"/>
      <c r="AG72" s="155"/>
      <c r="AH72" s="147" t="s">
        <v>26</v>
      </c>
      <c r="AI72" s="151" t="s">
        <v>76</v>
      </c>
      <c r="AJ72" s="146"/>
      <c r="AK72" s="146" t="s">
        <v>292</v>
      </c>
      <c r="AL72" s="146" t="s">
        <v>292</v>
      </c>
      <c r="AM72" s="143"/>
      <c r="AN72" s="143"/>
      <c r="AO72" s="143"/>
      <c r="AP72" s="152"/>
      <c r="AQ72" s="153"/>
      <c r="AR72" s="153"/>
      <c r="AS72" s="153"/>
      <c r="AT72" s="153"/>
      <c r="AU72" s="154"/>
      <c r="AV72" s="153" t="s">
        <v>106</v>
      </c>
      <c r="AW72" s="153" t="s">
        <v>106</v>
      </c>
      <c r="AX72" s="153" t="s">
        <v>106</v>
      </c>
      <c r="AY72" s="153" t="s">
        <v>106</v>
      </c>
      <c r="AZ72" s="153" t="s">
        <v>106</v>
      </c>
      <c r="BA72" s="154" t="s">
        <v>98</v>
      </c>
      <c r="BB72" s="152">
        <v>169898</v>
      </c>
      <c r="BC72" s="153">
        <v>169898</v>
      </c>
      <c r="BD72" s="153">
        <v>169898</v>
      </c>
      <c r="BE72" s="157">
        <v>169898</v>
      </c>
      <c r="BF72" s="157">
        <v>189563</v>
      </c>
      <c r="BG72" s="157"/>
      <c r="BH72" s="155"/>
      <c r="BI72" s="152" t="s">
        <v>920</v>
      </c>
      <c r="BJ72" s="153" t="s">
        <v>920</v>
      </c>
      <c r="BK72" s="153" t="s">
        <v>920</v>
      </c>
      <c r="BL72" s="153">
        <v>164370</v>
      </c>
      <c r="BM72" s="153">
        <v>185277</v>
      </c>
      <c r="BN72" s="154">
        <f>SUMIF(BI72:BM72,"&gt;0",BI72:BM72)</f>
        <v>349647</v>
      </c>
      <c r="BO72" s="156"/>
      <c r="BP72" s="148"/>
      <c r="BQ72" s="153"/>
      <c r="BR72" s="153"/>
      <c r="BS72" s="152"/>
      <c r="BT72" s="148"/>
      <c r="BU72" s="148"/>
      <c r="BV72" s="148"/>
      <c r="BW72" s="148"/>
      <c r="BX72" s="154">
        <f>SUM(BS72:BW72)</f>
        <v>0</v>
      </c>
      <c r="BY72" s="143"/>
      <c r="BZ72" s="143"/>
      <c r="CA72" s="143"/>
      <c r="CB72" s="143"/>
      <c r="CC72" s="143"/>
      <c r="CD72" s="155"/>
    </row>
    <row r="73" spans="1:82" ht="14.5">
      <c r="A73" s="143" t="s">
        <v>564</v>
      </c>
      <c r="B73" s="143" t="s">
        <v>1950</v>
      </c>
      <c r="C73" s="144" t="s">
        <v>1951</v>
      </c>
      <c r="D73" s="144" t="s">
        <v>1952</v>
      </c>
      <c r="E73" s="145" t="s">
        <v>1953</v>
      </c>
      <c r="F73" s="143" t="str">
        <f>SUBSTITUTE(E73," ","")</f>
        <v>63604564597</v>
      </c>
      <c r="G73" s="143" t="s">
        <v>1954</v>
      </c>
      <c r="H73" s="143" t="s">
        <v>74</v>
      </c>
      <c r="I73" s="143">
        <v>3340</v>
      </c>
      <c r="J73" s="143">
        <v>-37.707264000000002</v>
      </c>
      <c r="K73" s="143">
        <v>144.44207</v>
      </c>
      <c r="L73" s="143" t="s">
        <v>292</v>
      </c>
      <c r="M73" s="143" t="s">
        <v>292</v>
      </c>
      <c r="N73" s="143" t="s">
        <v>292</v>
      </c>
      <c r="O73" s="143"/>
      <c r="P73" s="143"/>
      <c r="Q73" s="143" t="s">
        <v>287</v>
      </c>
      <c r="R73" s="143" t="s">
        <v>85</v>
      </c>
      <c r="S73" s="147" t="s">
        <v>612</v>
      </c>
      <c r="T73" s="143">
        <v>1</v>
      </c>
      <c r="U73" s="143" t="s">
        <v>1955</v>
      </c>
      <c r="V73" s="143" t="s">
        <v>1956</v>
      </c>
      <c r="W73" s="143" t="s">
        <v>1320</v>
      </c>
      <c r="X73" s="143" t="s">
        <v>1004</v>
      </c>
      <c r="Y73" s="143" t="s">
        <v>1957</v>
      </c>
      <c r="Z73" s="143" t="s">
        <v>1958</v>
      </c>
      <c r="AA73" s="143" t="s">
        <v>1959</v>
      </c>
      <c r="AB73" s="153">
        <v>30738</v>
      </c>
      <c r="AC73" s="153" t="s">
        <v>1044</v>
      </c>
      <c r="AD73" s="153"/>
      <c r="AE73" s="153"/>
      <c r="AF73" s="143" t="s">
        <v>1045</v>
      </c>
      <c r="AG73" s="155"/>
      <c r="AH73" s="150" t="s">
        <v>37</v>
      </c>
      <c r="AI73" s="151" t="s">
        <v>76</v>
      </c>
      <c r="AJ73" s="151" t="s">
        <v>70</v>
      </c>
      <c r="AK73" s="151" t="s">
        <v>70</v>
      </c>
      <c r="AL73" s="151" t="s">
        <v>118</v>
      </c>
      <c r="AM73" s="151" t="s">
        <v>70</v>
      </c>
      <c r="AN73" s="151" t="s">
        <v>70</v>
      </c>
      <c r="AO73" s="151" t="s">
        <v>70</v>
      </c>
      <c r="AP73" s="152"/>
      <c r="AQ73" s="153"/>
      <c r="AR73" s="153"/>
      <c r="AS73" s="153"/>
      <c r="AT73" s="153"/>
      <c r="AU73" s="154"/>
      <c r="AV73" s="153" t="s">
        <v>106</v>
      </c>
      <c r="AW73" s="153" t="s">
        <v>106</v>
      </c>
      <c r="AX73" s="153" t="s">
        <v>106</v>
      </c>
      <c r="AY73" s="153" t="s">
        <v>106</v>
      </c>
      <c r="AZ73" s="153" t="s">
        <v>106</v>
      </c>
      <c r="BA73" s="260" t="s">
        <v>114</v>
      </c>
      <c r="BB73" s="152">
        <v>146390</v>
      </c>
      <c r="BC73" s="153">
        <v>146390</v>
      </c>
      <c r="BD73" s="153">
        <v>146390</v>
      </c>
      <c r="BE73" s="153">
        <v>146390</v>
      </c>
      <c r="BF73" s="153">
        <v>146390</v>
      </c>
      <c r="BG73" s="157"/>
      <c r="BH73" s="155"/>
      <c r="BI73" s="152" t="s">
        <v>920</v>
      </c>
      <c r="BJ73" s="153" t="s">
        <v>920</v>
      </c>
      <c r="BK73" s="153" t="s">
        <v>920</v>
      </c>
      <c r="BL73" s="153" t="s">
        <v>920</v>
      </c>
      <c r="BM73" s="153" t="s">
        <v>920</v>
      </c>
      <c r="BN73" s="154">
        <f>SUMIF(BI73:BM73,"&gt;0",BI73:BM73)</f>
        <v>0</v>
      </c>
      <c r="BO73" s="156"/>
      <c r="BP73" s="148"/>
      <c r="BQ73" s="153"/>
      <c r="BR73" s="153"/>
      <c r="BS73" s="152"/>
      <c r="BT73" s="148"/>
      <c r="BU73" s="148"/>
      <c r="BV73" s="148"/>
      <c r="BW73" s="148"/>
      <c r="BX73" s="154">
        <f>SUM(BS73:BW73)</f>
        <v>0</v>
      </c>
      <c r="BY73" s="143"/>
      <c r="BZ73" s="143"/>
      <c r="CA73" s="143"/>
      <c r="CB73" s="143"/>
      <c r="CC73" s="143"/>
      <c r="CD73" s="155"/>
    </row>
    <row r="74" spans="1:82" ht="14.5">
      <c r="A74" s="143" t="s">
        <v>473</v>
      </c>
      <c r="B74" s="143"/>
      <c r="C74" s="144"/>
      <c r="D74" s="161" t="s">
        <v>1627</v>
      </c>
      <c r="E74" s="145" t="s">
        <v>1628</v>
      </c>
      <c r="F74" s="143" t="str">
        <f>SUBSTITUTE(E74," ","")</f>
        <v>68101508865</v>
      </c>
      <c r="G74" s="143" t="s">
        <v>1629</v>
      </c>
      <c r="H74" s="143" t="s">
        <v>31</v>
      </c>
      <c r="I74" s="143">
        <v>2283</v>
      </c>
      <c r="J74" s="143">
        <v>-32.976996999999997</v>
      </c>
      <c r="K74" s="143">
        <v>151.57153199999999</v>
      </c>
      <c r="L74" s="143" t="s">
        <v>292</v>
      </c>
      <c r="M74" s="143" t="s">
        <v>292</v>
      </c>
      <c r="N74" s="143" t="s">
        <v>292</v>
      </c>
      <c r="O74" s="143" t="s">
        <v>55</v>
      </c>
      <c r="P74" s="173" t="s">
        <v>2081</v>
      </c>
      <c r="Q74" s="143" t="s">
        <v>29</v>
      </c>
      <c r="R74" s="143" t="s">
        <v>29</v>
      </c>
      <c r="S74" s="147"/>
      <c r="T74" s="143"/>
      <c r="U74" s="143"/>
      <c r="V74" s="143"/>
      <c r="W74" s="143"/>
      <c r="X74" s="143"/>
      <c r="Y74" s="143"/>
      <c r="Z74" s="143"/>
      <c r="AA74" s="143"/>
      <c r="AB74" s="143"/>
      <c r="AC74" s="143"/>
      <c r="AD74" s="153"/>
      <c r="AE74" s="153"/>
      <c r="AF74" s="143"/>
      <c r="AG74" s="155"/>
      <c r="AH74" s="147" t="s">
        <v>26</v>
      </c>
      <c r="AI74" s="146" t="s">
        <v>69</v>
      </c>
      <c r="AJ74" s="146" t="s">
        <v>1630</v>
      </c>
      <c r="AK74" s="146" t="s">
        <v>21</v>
      </c>
      <c r="AL74" s="146" t="s">
        <v>134</v>
      </c>
      <c r="AM74" s="143" t="s">
        <v>77</v>
      </c>
      <c r="AN74" s="143">
        <v>3.2</v>
      </c>
      <c r="AO74" s="143"/>
      <c r="AP74" s="152"/>
      <c r="AQ74" s="153"/>
      <c r="AR74" s="153"/>
      <c r="AS74" s="153"/>
      <c r="AT74" s="153"/>
      <c r="AU74" s="154"/>
      <c r="AV74" s="153" t="s">
        <v>106</v>
      </c>
      <c r="AW74" s="153" t="s">
        <v>106</v>
      </c>
      <c r="AX74" s="153" t="s">
        <v>106</v>
      </c>
      <c r="AY74" s="153" t="s">
        <v>106</v>
      </c>
      <c r="AZ74" s="153" t="s">
        <v>106</v>
      </c>
      <c r="BA74" s="154" t="s">
        <v>114</v>
      </c>
      <c r="BB74" s="152">
        <v>176815</v>
      </c>
      <c r="BC74" s="153">
        <v>176815</v>
      </c>
      <c r="BD74" s="153">
        <v>176815</v>
      </c>
      <c r="BE74" s="153">
        <v>176815</v>
      </c>
      <c r="BF74" s="153">
        <v>176815</v>
      </c>
      <c r="BG74" s="157"/>
      <c r="BH74" s="155"/>
      <c r="BI74" s="158">
        <v>73348</v>
      </c>
      <c r="BJ74" s="165">
        <v>47432</v>
      </c>
      <c r="BK74" s="165">
        <v>40953</v>
      </c>
      <c r="BL74" s="165">
        <v>45787</v>
      </c>
      <c r="BM74" s="165">
        <v>62554</v>
      </c>
      <c r="BN74" s="154">
        <f>SUMIF(BI74:BM74,"&gt;0",BI74:BM74)</f>
        <v>270074</v>
      </c>
      <c r="BO74" s="156"/>
      <c r="BP74" s="148"/>
      <c r="BQ74" s="153"/>
      <c r="BR74" s="153"/>
      <c r="BS74" s="152">
        <v>0</v>
      </c>
      <c r="BT74" s="153">
        <v>0</v>
      </c>
      <c r="BU74" s="153">
        <v>0</v>
      </c>
      <c r="BV74" s="153">
        <v>0</v>
      </c>
      <c r="BW74" s="153">
        <v>0</v>
      </c>
      <c r="BX74" s="154">
        <f>SUM(BS74:BW74)</f>
        <v>0</v>
      </c>
      <c r="BY74" s="143" t="e">
        <f>BI74/BS74</f>
        <v>#DIV/0!</v>
      </c>
      <c r="BZ74" s="143" t="e">
        <f>BJ74/BT74</f>
        <v>#DIV/0!</v>
      </c>
      <c r="CA74" s="143" t="e">
        <f>BK74/BU74</f>
        <v>#DIV/0!</v>
      </c>
      <c r="CB74" s="143" t="e">
        <f>BL74/BV74</f>
        <v>#DIV/0!</v>
      </c>
      <c r="CC74" s="143" t="e">
        <f>BM74/BW74</f>
        <v>#DIV/0!</v>
      </c>
      <c r="CD74" s="155" t="e">
        <f>AVERAGE(BY74:CC74)</f>
        <v>#DIV/0!</v>
      </c>
    </row>
    <row r="75" spans="1:82" ht="14.5">
      <c r="A75" s="143" t="s">
        <v>382</v>
      </c>
      <c r="B75" s="143" t="s">
        <v>1017</v>
      </c>
      <c r="C75" s="144" t="s">
        <v>654</v>
      </c>
      <c r="D75" s="144" t="s">
        <v>1325</v>
      </c>
      <c r="E75" s="145" t="s">
        <v>655</v>
      </c>
      <c r="F75" s="143" t="str">
        <f>SUBSTITUTE(E75," ","")</f>
        <v>42008746334</v>
      </c>
      <c r="G75" s="143" t="s">
        <v>292</v>
      </c>
      <c r="H75" s="173" t="s">
        <v>81</v>
      </c>
      <c r="I75" s="143" t="s">
        <v>292</v>
      </c>
      <c r="J75" s="143" t="s">
        <v>292</v>
      </c>
      <c r="K75" s="143" t="s">
        <v>292</v>
      </c>
      <c r="L75" s="143" t="s">
        <v>292</v>
      </c>
      <c r="M75" s="143" t="s">
        <v>292</v>
      </c>
      <c r="N75" s="143" t="s">
        <v>292</v>
      </c>
      <c r="O75" s="143"/>
      <c r="P75" s="143"/>
      <c r="Q75" s="143" t="s">
        <v>278</v>
      </c>
      <c r="R75" s="143" t="s">
        <v>79</v>
      </c>
      <c r="S75" s="147"/>
      <c r="T75" s="143"/>
      <c r="U75" s="143"/>
      <c r="V75" s="143"/>
      <c r="W75" s="143"/>
      <c r="X75" s="143"/>
      <c r="Y75" s="143"/>
      <c r="Z75" s="143"/>
      <c r="AA75" s="143"/>
      <c r="AB75" s="143"/>
      <c r="AC75" s="143"/>
      <c r="AD75" s="153"/>
      <c r="AE75" s="153"/>
      <c r="AF75" s="143"/>
      <c r="AG75" s="155"/>
      <c r="AH75" s="147" t="s">
        <v>48</v>
      </c>
      <c r="AI75" s="151" t="s">
        <v>76</v>
      </c>
      <c r="AJ75" s="146"/>
      <c r="AK75" s="146" t="s">
        <v>70</v>
      </c>
      <c r="AL75" s="151" t="s">
        <v>118</v>
      </c>
      <c r="AM75" s="143"/>
      <c r="AN75" s="143"/>
      <c r="AO75" s="143"/>
      <c r="AP75" s="152" t="s">
        <v>26</v>
      </c>
      <c r="AQ75" s="153" t="s">
        <v>26</v>
      </c>
      <c r="AR75" s="160" t="str">
        <f>IF(BF75&gt;(BD75*1.1),"yes","no")</f>
        <v>no</v>
      </c>
      <c r="AS75" s="160" t="str">
        <f>IF(BM75&gt;(BK75*1.1),"yes","no")</f>
        <v>no</v>
      </c>
      <c r="AT75" s="160" t="str">
        <f>IF(BM75&gt;(BK75*1.1),"yes","no")</f>
        <v>no</v>
      </c>
      <c r="AU75" s="154">
        <v>3468</v>
      </c>
      <c r="AV75" s="153" t="s">
        <v>114</v>
      </c>
      <c r="AW75" s="153" t="s">
        <v>114</v>
      </c>
      <c r="AX75" s="153" t="s">
        <v>89</v>
      </c>
      <c r="AY75" s="153" t="s">
        <v>89</v>
      </c>
      <c r="AZ75" s="153" t="s">
        <v>89</v>
      </c>
      <c r="BA75" s="154" t="s">
        <v>114</v>
      </c>
      <c r="BB75" s="152" t="s">
        <v>114</v>
      </c>
      <c r="BC75" s="153" t="s">
        <v>114</v>
      </c>
      <c r="BD75" s="153">
        <v>100000</v>
      </c>
      <c r="BE75" s="157">
        <v>100274</v>
      </c>
      <c r="BF75" s="157">
        <v>106530</v>
      </c>
      <c r="BG75" s="157"/>
      <c r="BH75" s="155" t="s">
        <v>1326</v>
      </c>
      <c r="BI75" s="152" t="s">
        <v>920</v>
      </c>
      <c r="BJ75" s="153" t="s">
        <v>920</v>
      </c>
      <c r="BK75" s="153">
        <v>102688</v>
      </c>
      <c r="BL75" s="153">
        <v>103388</v>
      </c>
      <c r="BM75" s="153">
        <v>104196</v>
      </c>
      <c r="BN75" s="154">
        <f>SUMIF(BI75:BM75,"&gt;0",BI75:BM75)</f>
        <v>310272</v>
      </c>
      <c r="BO75" s="156"/>
      <c r="BP75" s="148"/>
      <c r="BQ75" s="153"/>
      <c r="BR75" s="153"/>
      <c r="BS75" s="152"/>
      <c r="BT75" s="148"/>
      <c r="BU75" s="148"/>
      <c r="BV75" s="148"/>
      <c r="BW75" s="148"/>
      <c r="BX75" s="154">
        <f>SUM(BS75:BW75)</f>
        <v>0</v>
      </c>
      <c r="BY75" s="143"/>
      <c r="BZ75" s="143"/>
      <c r="CA75" s="143"/>
      <c r="CB75" s="143"/>
      <c r="CC75" s="143"/>
      <c r="CD75" s="155"/>
    </row>
    <row r="76" spans="1:82" ht="14.5">
      <c r="A76" s="143" t="s">
        <v>365</v>
      </c>
      <c r="B76" s="143" t="s">
        <v>1255</v>
      </c>
      <c r="C76" s="144" t="s">
        <v>663</v>
      </c>
      <c r="D76" s="159" t="s">
        <v>1083</v>
      </c>
      <c r="E76" s="145" t="s">
        <v>664</v>
      </c>
      <c r="F76" s="143" t="str">
        <f>SUBSTITUTE(E76," ","")</f>
        <v>69081609190</v>
      </c>
      <c r="G76" s="143" t="s">
        <v>292</v>
      </c>
      <c r="H76" s="173" t="s">
        <v>81</v>
      </c>
      <c r="I76" s="143" t="s">
        <v>292</v>
      </c>
      <c r="J76" s="143" t="s">
        <v>292</v>
      </c>
      <c r="K76" s="143" t="s">
        <v>292</v>
      </c>
      <c r="L76" s="143" t="s">
        <v>292</v>
      </c>
      <c r="M76" s="143" t="s">
        <v>292</v>
      </c>
      <c r="N76" s="143" t="s">
        <v>292</v>
      </c>
      <c r="O76" s="143"/>
      <c r="P76" s="143"/>
      <c r="Q76" s="143" t="s">
        <v>110</v>
      </c>
      <c r="R76" s="143" t="s">
        <v>58</v>
      </c>
      <c r="S76" s="147"/>
      <c r="T76" s="143"/>
      <c r="U76" s="143"/>
      <c r="V76" s="143"/>
      <c r="W76" s="143"/>
      <c r="X76" s="143"/>
      <c r="Y76" s="143"/>
      <c r="Z76" s="143"/>
      <c r="AA76" s="143"/>
      <c r="AB76" s="143"/>
      <c r="AC76" s="143"/>
      <c r="AD76" s="153"/>
      <c r="AE76" s="153"/>
      <c r="AF76" s="143"/>
      <c r="AG76" s="155"/>
      <c r="AH76" s="147" t="s">
        <v>26</v>
      </c>
      <c r="AI76" s="151" t="s">
        <v>76</v>
      </c>
      <c r="AJ76" s="146"/>
      <c r="AK76" s="146" t="s">
        <v>292</v>
      </c>
      <c r="AL76" s="146" t="s">
        <v>292</v>
      </c>
      <c r="AM76" s="143"/>
      <c r="AN76" s="143"/>
      <c r="AO76" s="143"/>
      <c r="AP76" s="152"/>
      <c r="AQ76" s="153"/>
      <c r="AR76" s="153"/>
      <c r="AS76" s="153"/>
      <c r="AT76" s="153"/>
      <c r="AU76" s="154"/>
      <c r="AV76" s="153" t="s">
        <v>1028</v>
      </c>
      <c r="AW76" s="153" t="s">
        <v>106</v>
      </c>
      <c r="AX76" s="153" t="s">
        <v>106</v>
      </c>
      <c r="AY76" s="153" t="s">
        <v>106</v>
      </c>
      <c r="AZ76" s="153" t="s">
        <v>73</v>
      </c>
      <c r="BA76" s="154" t="s">
        <v>73</v>
      </c>
      <c r="BB76" s="152">
        <v>360901</v>
      </c>
      <c r="BC76" s="153">
        <v>360901</v>
      </c>
      <c r="BD76" s="153">
        <v>360901</v>
      </c>
      <c r="BE76" s="157">
        <v>360901</v>
      </c>
      <c r="BF76" s="157">
        <v>246362</v>
      </c>
      <c r="BG76" s="157"/>
      <c r="BH76" s="155"/>
      <c r="BI76" s="152">
        <v>235918</v>
      </c>
      <c r="BJ76" s="153">
        <v>251197</v>
      </c>
      <c r="BK76" s="153">
        <v>249283</v>
      </c>
      <c r="BL76" s="153">
        <v>269997</v>
      </c>
      <c r="BM76" s="153">
        <v>243269</v>
      </c>
      <c r="BN76" s="154">
        <f>SUMIF(BI76:BM76,"&gt;0",BI76:BM76)</f>
        <v>1249664</v>
      </c>
      <c r="BO76" s="156"/>
      <c r="BP76" s="148"/>
      <c r="BQ76" s="153"/>
      <c r="BR76" s="153"/>
      <c r="BS76" s="152"/>
      <c r="BT76" s="148"/>
      <c r="BU76" s="148"/>
      <c r="BV76" s="148"/>
      <c r="BW76" s="148"/>
      <c r="BX76" s="154">
        <f>SUM(BS76:BW76)</f>
        <v>0</v>
      </c>
      <c r="BY76" s="143"/>
      <c r="BZ76" s="143"/>
      <c r="CA76" s="143"/>
      <c r="CB76" s="143"/>
      <c r="CC76" s="143"/>
      <c r="CD76" s="155"/>
    </row>
    <row r="77" spans="1:82" ht="14.5">
      <c r="A77" s="143" t="s">
        <v>310</v>
      </c>
      <c r="B77" s="143"/>
      <c r="C77" s="144" t="s">
        <v>621</v>
      </c>
      <c r="D77" s="144" t="s">
        <v>1083</v>
      </c>
      <c r="E77" s="145" t="s">
        <v>622</v>
      </c>
      <c r="F77" s="143" t="str">
        <f>SUBSTITUTE(E77," ","")</f>
        <v>19078551685</v>
      </c>
      <c r="G77" s="143" t="s">
        <v>292</v>
      </c>
      <c r="H77" s="173" t="s">
        <v>74</v>
      </c>
      <c r="I77" s="143" t="s">
        <v>292</v>
      </c>
      <c r="J77" s="143" t="s">
        <v>292</v>
      </c>
      <c r="K77" s="143" t="s">
        <v>292</v>
      </c>
      <c r="L77" s="143" t="s">
        <v>292</v>
      </c>
      <c r="M77" s="143" t="s">
        <v>292</v>
      </c>
      <c r="N77" s="143" t="s">
        <v>292</v>
      </c>
      <c r="O77" s="143"/>
      <c r="P77" s="143"/>
      <c r="Q77" s="143" t="s">
        <v>110</v>
      </c>
      <c r="R77" s="143" t="s">
        <v>58</v>
      </c>
      <c r="S77" s="147"/>
      <c r="T77" s="143"/>
      <c r="U77" s="143"/>
      <c r="V77" s="143"/>
      <c r="W77" s="143"/>
      <c r="X77" s="143"/>
      <c r="Y77" s="143"/>
      <c r="Z77" s="143"/>
      <c r="AA77" s="143"/>
      <c r="AB77" s="143"/>
      <c r="AC77" s="143"/>
      <c r="AD77" s="153"/>
      <c r="AE77" s="153"/>
      <c r="AF77" s="143"/>
      <c r="AG77" s="155"/>
      <c r="AH77" s="147" t="s">
        <v>26</v>
      </c>
      <c r="AI77" s="151" t="s">
        <v>76</v>
      </c>
      <c r="AJ77" s="146"/>
      <c r="AK77" s="146" t="s">
        <v>292</v>
      </c>
      <c r="AL77" s="146" t="s">
        <v>292</v>
      </c>
      <c r="AM77" s="143"/>
      <c r="AN77" s="143"/>
      <c r="AO77" s="143"/>
      <c r="AP77" s="152"/>
      <c r="AQ77" s="153"/>
      <c r="AR77" s="153"/>
      <c r="AS77" s="153"/>
      <c r="AT77" s="153"/>
      <c r="AU77" s="154"/>
      <c r="AV77" s="153" t="s">
        <v>1028</v>
      </c>
      <c r="AW77" s="153" t="s">
        <v>106</v>
      </c>
      <c r="AX77" s="153" t="s">
        <v>106</v>
      </c>
      <c r="AY77" s="153" t="s">
        <v>106</v>
      </c>
      <c r="AZ77" s="153" t="s">
        <v>106</v>
      </c>
      <c r="BA77" s="154" t="s">
        <v>98</v>
      </c>
      <c r="BB77" s="152">
        <v>317176</v>
      </c>
      <c r="BC77" s="153">
        <v>317176</v>
      </c>
      <c r="BD77" s="153">
        <v>317176</v>
      </c>
      <c r="BE77" s="157">
        <v>317176</v>
      </c>
      <c r="BF77" s="157">
        <v>317176</v>
      </c>
      <c r="BG77" s="157"/>
      <c r="BH77" s="155"/>
      <c r="BI77" s="152">
        <v>272892</v>
      </c>
      <c r="BJ77" s="153">
        <v>257771</v>
      </c>
      <c r="BK77" s="153">
        <v>262102</v>
      </c>
      <c r="BL77" s="153">
        <v>260687</v>
      </c>
      <c r="BM77" s="153">
        <v>179603</v>
      </c>
      <c r="BN77" s="154">
        <f>SUMIF(BI77:BM77,"&gt;0",BI77:BM77)</f>
        <v>1233055</v>
      </c>
      <c r="BO77" s="156"/>
      <c r="BP77" s="148"/>
      <c r="BQ77" s="153"/>
      <c r="BR77" s="153"/>
      <c r="BS77" s="152"/>
      <c r="BT77" s="148"/>
      <c r="BU77" s="148"/>
      <c r="BV77" s="148"/>
      <c r="BW77" s="148"/>
      <c r="BX77" s="154">
        <f>SUM(BS77:BW77)</f>
        <v>0</v>
      </c>
      <c r="BY77" s="143"/>
      <c r="BZ77" s="143"/>
      <c r="CA77" s="143"/>
      <c r="CB77" s="143"/>
      <c r="CC77" s="143"/>
      <c r="CD77" s="155"/>
    </row>
    <row r="78" spans="1:82" ht="14.5">
      <c r="A78" s="143" t="s">
        <v>309</v>
      </c>
      <c r="B78" s="143"/>
      <c r="C78" s="144" t="s">
        <v>621</v>
      </c>
      <c r="D78" s="144" t="s">
        <v>1083</v>
      </c>
      <c r="E78" s="145" t="s">
        <v>622</v>
      </c>
      <c r="F78" s="143" t="str">
        <f>SUBSTITUTE(E78," ","")</f>
        <v>19078551685</v>
      </c>
      <c r="G78" s="143" t="s">
        <v>292</v>
      </c>
      <c r="H78" s="173" t="s">
        <v>60</v>
      </c>
      <c r="I78" s="143" t="s">
        <v>292</v>
      </c>
      <c r="J78" s="143" t="s">
        <v>292</v>
      </c>
      <c r="K78" s="143" t="s">
        <v>292</v>
      </c>
      <c r="L78" s="143" t="s">
        <v>292</v>
      </c>
      <c r="M78" s="143" t="s">
        <v>292</v>
      </c>
      <c r="N78" s="143" t="s">
        <v>292</v>
      </c>
      <c r="O78" s="143"/>
      <c r="P78" s="143"/>
      <c r="Q78" s="143" t="s">
        <v>110</v>
      </c>
      <c r="R78" s="143" t="s">
        <v>58</v>
      </c>
      <c r="S78" s="147"/>
      <c r="T78" s="143"/>
      <c r="U78" s="143"/>
      <c r="V78" s="143"/>
      <c r="W78" s="143"/>
      <c r="X78" s="143"/>
      <c r="Y78" s="143"/>
      <c r="Z78" s="143"/>
      <c r="AA78" s="143"/>
      <c r="AB78" s="143"/>
      <c r="AC78" s="143"/>
      <c r="AD78" s="153"/>
      <c r="AE78" s="153"/>
      <c r="AF78" s="143"/>
      <c r="AG78" s="155"/>
      <c r="AH78" s="147" t="s">
        <v>26</v>
      </c>
      <c r="AI78" s="151" t="s">
        <v>76</v>
      </c>
      <c r="AJ78" s="146"/>
      <c r="AK78" s="146" t="s">
        <v>292</v>
      </c>
      <c r="AL78" s="146" t="s">
        <v>292</v>
      </c>
      <c r="AM78" s="143"/>
      <c r="AN78" s="143"/>
      <c r="AO78" s="143"/>
      <c r="AP78" s="152"/>
      <c r="AQ78" s="153"/>
      <c r="AR78" s="153"/>
      <c r="AS78" s="153"/>
      <c r="AT78" s="153"/>
      <c r="AU78" s="154"/>
      <c r="AV78" s="153" t="s">
        <v>1028</v>
      </c>
      <c r="AW78" s="153" t="s">
        <v>106</v>
      </c>
      <c r="AX78" s="153" t="s">
        <v>106</v>
      </c>
      <c r="AY78" s="153" t="s">
        <v>106</v>
      </c>
      <c r="AZ78" s="153" t="s">
        <v>106</v>
      </c>
      <c r="BA78" s="154" t="s">
        <v>98</v>
      </c>
      <c r="BB78" s="152">
        <v>300947</v>
      </c>
      <c r="BC78" s="153">
        <v>300947</v>
      </c>
      <c r="BD78" s="153">
        <v>300947</v>
      </c>
      <c r="BE78" s="157">
        <v>300947</v>
      </c>
      <c r="BF78" s="157">
        <v>300947</v>
      </c>
      <c r="BG78" s="157"/>
      <c r="BH78" s="155"/>
      <c r="BI78" s="152">
        <v>206161</v>
      </c>
      <c r="BJ78" s="153">
        <v>208205</v>
      </c>
      <c r="BK78" s="153">
        <v>209608</v>
      </c>
      <c r="BL78" s="153">
        <v>211742</v>
      </c>
      <c r="BM78" s="153">
        <v>116466</v>
      </c>
      <c r="BN78" s="154">
        <f>SUMIF(BI78:BM78,"&gt;0",BI78:BM78)</f>
        <v>952182</v>
      </c>
      <c r="BO78" s="156"/>
      <c r="BP78" s="148"/>
      <c r="BQ78" s="153"/>
      <c r="BR78" s="153"/>
      <c r="BS78" s="152"/>
      <c r="BT78" s="148"/>
      <c r="BU78" s="148"/>
      <c r="BV78" s="148"/>
      <c r="BW78" s="148"/>
      <c r="BX78" s="154">
        <f>SUM(BS78:BW78)</f>
        <v>0</v>
      </c>
      <c r="BY78" s="143"/>
      <c r="BZ78" s="143"/>
      <c r="CA78" s="143"/>
      <c r="CB78" s="143"/>
      <c r="CC78" s="143"/>
      <c r="CD78" s="155"/>
    </row>
    <row r="79" spans="1:82" ht="14.5">
      <c r="A79" s="143" t="s">
        <v>591</v>
      </c>
      <c r="B79" s="143" t="s">
        <v>2027</v>
      </c>
      <c r="C79" s="144" t="s">
        <v>691</v>
      </c>
      <c r="D79" s="144" t="s">
        <v>2028</v>
      </c>
      <c r="E79" s="145" t="s">
        <v>2029</v>
      </c>
      <c r="F79" s="143" t="str">
        <f>SUBSTITUTE(E79," ","")</f>
        <v>25147531226</v>
      </c>
      <c r="G79" s="143" t="s">
        <v>2030</v>
      </c>
      <c r="H79" s="143" t="s">
        <v>81</v>
      </c>
      <c r="I79" s="143">
        <v>6710</v>
      </c>
      <c r="J79" s="143">
        <v>-21.698143000000002</v>
      </c>
      <c r="K79" s="143">
        <v>115.00183199999999</v>
      </c>
      <c r="L79" s="143" t="s">
        <v>292</v>
      </c>
      <c r="M79" s="143" t="s">
        <v>292</v>
      </c>
      <c r="N79" s="143" t="s">
        <v>292</v>
      </c>
      <c r="O79" s="143"/>
      <c r="P79" s="143"/>
      <c r="Q79" s="143" t="s">
        <v>121</v>
      </c>
      <c r="R79" s="143" t="s">
        <v>58</v>
      </c>
      <c r="S79" s="147"/>
      <c r="T79" s="143"/>
      <c r="U79" s="143"/>
      <c r="V79" s="143"/>
      <c r="W79" s="143"/>
      <c r="X79" s="143"/>
      <c r="Y79" s="143"/>
      <c r="Z79" s="143"/>
      <c r="AA79" s="143"/>
      <c r="AB79" s="143"/>
      <c r="AC79" s="143"/>
      <c r="AD79" s="153"/>
      <c r="AE79" s="153"/>
      <c r="AF79" s="143"/>
      <c r="AG79" s="155"/>
      <c r="AH79" s="147" t="s">
        <v>26</v>
      </c>
      <c r="AI79" s="151" t="s">
        <v>76</v>
      </c>
      <c r="AJ79" s="146"/>
      <c r="AK79" s="146" t="s">
        <v>292</v>
      </c>
      <c r="AL79" s="146" t="s">
        <v>292</v>
      </c>
      <c r="AM79" s="143"/>
      <c r="AN79" s="143"/>
      <c r="AO79" s="143"/>
      <c r="AP79" s="152" t="s">
        <v>26</v>
      </c>
      <c r="AQ79" s="153" t="s">
        <v>26</v>
      </c>
      <c r="AR79" s="160" t="str">
        <f>IF(BF79&gt;(BC79*1.1),"yes","no")</f>
        <v>no</v>
      </c>
      <c r="AS79" s="160" t="str">
        <f>IF(BM79&gt;(BJ79*1.1),"yes","no")</f>
        <v>yes</v>
      </c>
      <c r="AT79" s="160" t="str">
        <f>IF(BM79&gt;(BI79*1.1),"yes","no")</f>
        <v>yes</v>
      </c>
      <c r="AU79" s="154">
        <v>0</v>
      </c>
      <c r="AV79" s="153" t="s">
        <v>1028</v>
      </c>
      <c r="AW79" s="153" t="s">
        <v>108</v>
      </c>
      <c r="AX79" s="153" t="s">
        <v>108</v>
      </c>
      <c r="AY79" s="153" t="s">
        <v>108</v>
      </c>
      <c r="AZ79" s="153" t="s">
        <v>108</v>
      </c>
      <c r="BA79" s="154" t="s">
        <v>114</v>
      </c>
      <c r="BB79" s="152">
        <v>229260</v>
      </c>
      <c r="BC79" s="153">
        <v>229260</v>
      </c>
      <c r="BD79" s="153">
        <v>229260</v>
      </c>
      <c r="BE79" s="157">
        <v>229260</v>
      </c>
      <c r="BF79" s="157">
        <v>229260</v>
      </c>
      <c r="BG79" s="157"/>
      <c r="BH79" s="155"/>
      <c r="BI79" s="152">
        <v>169756</v>
      </c>
      <c r="BJ79" s="153">
        <v>284391</v>
      </c>
      <c r="BK79" s="153">
        <v>64378</v>
      </c>
      <c r="BL79" s="153" t="s">
        <v>921</v>
      </c>
      <c r="BM79" s="153" t="s">
        <v>921</v>
      </c>
      <c r="BN79" s="154">
        <f>SUMIF(BI79:BM79,"&gt;0",BI79:BM79)</f>
        <v>518525</v>
      </c>
      <c r="BO79" s="156"/>
      <c r="BP79" s="148"/>
      <c r="BQ79" s="153"/>
      <c r="BR79" s="153"/>
      <c r="BS79" s="152"/>
      <c r="BT79" s="148"/>
      <c r="BU79" s="148"/>
      <c r="BV79" s="148"/>
      <c r="BW79" s="148"/>
      <c r="BX79" s="154">
        <f>SUM(BS79:BW79)</f>
        <v>0</v>
      </c>
      <c r="BY79" s="143"/>
      <c r="BZ79" s="143"/>
      <c r="CA79" s="143"/>
      <c r="CB79" s="143"/>
      <c r="CC79" s="143"/>
      <c r="CD79" s="155"/>
    </row>
    <row r="80" spans="1:82" ht="14.5">
      <c r="A80" s="143" t="s">
        <v>400</v>
      </c>
      <c r="B80" s="143" t="s">
        <v>400</v>
      </c>
      <c r="C80" s="144" t="s">
        <v>691</v>
      </c>
      <c r="D80" s="144" t="s">
        <v>1364</v>
      </c>
      <c r="E80" s="145" t="s">
        <v>692</v>
      </c>
      <c r="F80" s="143" t="str">
        <f>SUBSTITUTE(E80," ","")</f>
        <v>29086197757</v>
      </c>
      <c r="G80" s="143" t="s">
        <v>1365</v>
      </c>
      <c r="H80" s="143" t="s">
        <v>81</v>
      </c>
      <c r="I80" s="143">
        <v>6712</v>
      </c>
      <c r="J80" s="143">
        <v>-20.790140000000001</v>
      </c>
      <c r="K80" s="143">
        <v>115.44948599999999</v>
      </c>
      <c r="L80" s="143">
        <v>2016</v>
      </c>
      <c r="M80" s="143">
        <v>6</v>
      </c>
      <c r="N80" s="143">
        <v>2056</v>
      </c>
      <c r="O80" s="143"/>
      <c r="P80" s="143"/>
      <c r="Q80" s="143" t="s">
        <v>121</v>
      </c>
      <c r="R80" s="143" t="s">
        <v>58</v>
      </c>
      <c r="S80" s="147"/>
      <c r="T80" s="143"/>
      <c r="U80" s="143"/>
      <c r="V80" s="143"/>
      <c r="W80" s="143"/>
      <c r="X80" s="143"/>
      <c r="Y80" s="143"/>
      <c r="Z80" s="143"/>
      <c r="AA80" s="143"/>
      <c r="AB80" s="143"/>
      <c r="AC80" s="143"/>
      <c r="AD80" s="153"/>
      <c r="AE80" s="153"/>
      <c r="AF80" s="143"/>
      <c r="AG80" s="155"/>
      <c r="AH80" s="147" t="s">
        <v>26</v>
      </c>
      <c r="AI80" s="151" t="s">
        <v>76</v>
      </c>
      <c r="AJ80" s="146"/>
      <c r="AK80" s="146" t="s">
        <v>292</v>
      </c>
      <c r="AL80" s="146" t="s">
        <v>292</v>
      </c>
      <c r="AM80" s="143"/>
      <c r="AN80" s="143"/>
      <c r="AO80" s="143"/>
      <c r="AP80" s="152" t="s">
        <v>26</v>
      </c>
      <c r="AQ80" s="148" t="s">
        <v>26</v>
      </c>
      <c r="AR80" s="160" t="str">
        <f>IF(BF80&gt;(BB80*1.1),"yes","no")</f>
        <v>no</v>
      </c>
      <c r="AS80" s="160" t="str">
        <f>IF(BM80&gt;(BJ80*1.1),"yes","no")</f>
        <v>no</v>
      </c>
      <c r="AT80" s="160" t="str">
        <f>IF(BM80&gt;(BI80*1.1),"yes","no")</f>
        <v>no</v>
      </c>
      <c r="AU80" s="154">
        <v>0</v>
      </c>
      <c r="AV80" s="148" t="s">
        <v>59</v>
      </c>
      <c r="AW80" s="153" t="s">
        <v>66</v>
      </c>
      <c r="AX80" s="153" t="s">
        <v>66</v>
      </c>
      <c r="AY80" s="153" t="s">
        <v>66</v>
      </c>
      <c r="AZ80" s="153" t="s">
        <v>59</v>
      </c>
      <c r="BA80" s="154" t="s">
        <v>98</v>
      </c>
      <c r="BB80" s="152">
        <v>8338429</v>
      </c>
      <c r="BC80" s="153">
        <v>8338429</v>
      </c>
      <c r="BD80" s="153">
        <v>8338429</v>
      </c>
      <c r="BE80" s="157">
        <v>8361274</v>
      </c>
      <c r="BF80" s="157">
        <v>8365831</v>
      </c>
      <c r="BG80" s="157"/>
      <c r="BH80" s="155"/>
      <c r="BI80" s="152">
        <v>7721771</v>
      </c>
      <c r="BJ80" s="153">
        <v>9022087</v>
      </c>
      <c r="BK80" s="153">
        <v>8970457</v>
      </c>
      <c r="BL80" s="153">
        <v>6263348</v>
      </c>
      <c r="BM80" s="153">
        <v>5460144</v>
      </c>
      <c r="BN80" s="154">
        <f>SUMIF(BI80:BM80,"&gt;0",BI80:BM80)</f>
        <v>37437807</v>
      </c>
      <c r="BO80" s="156">
        <v>4000000</v>
      </c>
      <c r="BP80" s="148">
        <v>4000000</v>
      </c>
      <c r="BQ80" s="153">
        <v>4000000</v>
      </c>
      <c r="BR80" s="153">
        <v>4000000</v>
      </c>
      <c r="BS80" s="152" t="s">
        <v>70</v>
      </c>
      <c r="BT80" s="148" t="s">
        <v>70</v>
      </c>
      <c r="BU80" s="148" t="s">
        <v>70</v>
      </c>
      <c r="BV80" s="148" t="s">
        <v>70</v>
      </c>
      <c r="BW80" s="148" t="s">
        <v>70</v>
      </c>
      <c r="BX80" s="154">
        <f>SUM(BS80:BW80)</f>
        <v>0</v>
      </c>
      <c r="BY80" s="143"/>
      <c r="BZ80" s="143"/>
      <c r="CA80" s="143" t="e">
        <f>BK80/BU80</f>
        <v>#VALUE!</v>
      </c>
      <c r="CB80" s="143" t="e">
        <f>BL80/BV80</f>
        <v>#VALUE!</v>
      </c>
      <c r="CC80" s="143" t="e">
        <f>BM80/BW80</f>
        <v>#VALUE!</v>
      </c>
      <c r="CD80" s="155"/>
    </row>
    <row r="81" spans="1:82" ht="14.5">
      <c r="A81" s="143" t="s">
        <v>399</v>
      </c>
      <c r="B81" s="143" t="s">
        <v>400</v>
      </c>
      <c r="C81" s="144" t="s">
        <v>691</v>
      </c>
      <c r="D81" s="144" t="s">
        <v>1364</v>
      </c>
      <c r="E81" s="145" t="s">
        <v>692</v>
      </c>
      <c r="F81" s="143" t="str">
        <f>SUBSTITUTE(E81," ","")</f>
        <v>29086197757</v>
      </c>
      <c r="G81" s="143" t="s">
        <v>1365</v>
      </c>
      <c r="H81" s="143" t="s">
        <v>81</v>
      </c>
      <c r="I81" s="143">
        <v>6712</v>
      </c>
      <c r="J81" s="143">
        <v>-20.790140000000001</v>
      </c>
      <c r="K81" s="143">
        <v>115.44948599999999</v>
      </c>
      <c r="L81" s="143" t="s">
        <v>292</v>
      </c>
      <c r="M81" s="143" t="s">
        <v>292</v>
      </c>
      <c r="N81" s="143" t="s">
        <v>292</v>
      </c>
      <c r="O81" s="143"/>
      <c r="P81" s="143"/>
      <c r="Q81" s="143" t="s">
        <v>121</v>
      </c>
      <c r="R81" s="143" t="s">
        <v>58</v>
      </c>
      <c r="S81" s="147"/>
      <c r="T81" s="143"/>
      <c r="U81" s="143"/>
      <c r="V81" s="143"/>
      <c r="W81" s="143"/>
      <c r="X81" s="143"/>
      <c r="Y81" s="143"/>
      <c r="Z81" s="143"/>
      <c r="AA81" s="143"/>
      <c r="AB81" s="143"/>
      <c r="AC81" s="143"/>
      <c r="AD81" s="153"/>
      <c r="AE81" s="153"/>
      <c r="AF81" s="143"/>
      <c r="AG81" s="155"/>
      <c r="AH81" s="147" t="s">
        <v>26</v>
      </c>
      <c r="AI81" s="151" t="s">
        <v>76</v>
      </c>
      <c r="AJ81" s="146"/>
      <c r="AK81" s="146" t="s">
        <v>292</v>
      </c>
      <c r="AL81" s="146" t="s">
        <v>292</v>
      </c>
      <c r="AM81" s="143"/>
      <c r="AN81" s="143"/>
      <c r="AO81" s="143"/>
      <c r="AP81" s="152"/>
      <c r="AQ81" s="153"/>
      <c r="AR81" s="153"/>
      <c r="AS81" s="153"/>
      <c r="AT81" s="153"/>
      <c r="AU81" s="154"/>
      <c r="AV81" s="153" t="s">
        <v>106</v>
      </c>
      <c r="AW81" s="153" t="s">
        <v>106</v>
      </c>
      <c r="AX81" s="153" t="s">
        <v>106</v>
      </c>
      <c r="AY81" s="153" t="s">
        <v>106</v>
      </c>
      <c r="AZ81" s="153" t="s">
        <v>106</v>
      </c>
      <c r="BA81" s="154" t="s">
        <v>114</v>
      </c>
      <c r="BB81" s="152">
        <v>261572</v>
      </c>
      <c r="BC81" s="153">
        <v>261572</v>
      </c>
      <c r="BD81" s="153">
        <v>261572</v>
      </c>
      <c r="BE81" s="157">
        <v>261572</v>
      </c>
      <c r="BF81" s="157">
        <v>261572</v>
      </c>
      <c r="BG81" s="157"/>
      <c r="BH81" s="155"/>
      <c r="BI81" s="152" t="s">
        <v>920</v>
      </c>
      <c r="BJ81" s="153" t="s">
        <v>920</v>
      </c>
      <c r="BK81" s="153" t="s">
        <v>920</v>
      </c>
      <c r="BL81" s="153" t="s">
        <v>920</v>
      </c>
      <c r="BM81" s="153" t="s">
        <v>920</v>
      </c>
      <c r="BN81" s="154">
        <f>SUMIF(BI81:BM81,"&gt;0",BI81:BM81)</f>
        <v>0</v>
      </c>
      <c r="BO81" s="156"/>
      <c r="BP81" s="148"/>
      <c r="BQ81" s="153"/>
      <c r="BR81" s="153"/>
      <c r="BS81" s="152"/>
      <c r="BT81" s="148"/>
      <c r="BU81" s="148"/>
      <c r="BV81" s="148"/>
      <c r="BW81" s="148"/>
      <c r="BX81" s="154">
        <f>SUM(BS81:BW81)</f>
        <v>0</v>
      </c>
      <c r="BY81" s="143"/>
      <c r="BZ81" s="143"/>
      <c r="CA81" s="143"/>
      <c r="CB81" s="143"/>
      <c r="CC81" s="143"/>
      <c r="CD81" s="155"/>
    </row>
    <row r="82" spans="1:82" ht="14.5">
      <c r="A82" s="143" t="s">
        <v>401</v>
      </c>
      <c r="B82" s="143" t="s">
        <v>400</v>
      </c>
      <c r="C82" s="144" t="s">
        <v>691</v>
      </c>
      <c r="D82" s="144" t="s">
        <v>1364</v>
      </c>
      <c r="E82" s="145" t="s">
        <v>692</v>
      </c>
      <c r="F82" s="143" t="str">
        <f>SUBSTITUTE(E82," ","")</f>
        <v>29086197757</v>
      </c>
      <c r="G82" s="143" t="s">
        <v>1365</v>
      </c>
      <c r="H82" s="143" t="s">
        <v>81</v>
      </c>
      <c r="I82" s="143">
        <v>6712</v>
      </c>
      <c r="J82" s="143">
        <v>-20.790140000000001</v>
      </c>
      <c r="K82" s="143">
        <v>115.44948599999999</v>
      </c>
      <c r="L82" s="143" t="s">
        <v>292</v>
      </c>
      <c r="M82" s="143" t="s">
        <v>292</v>
      </c>
      <c r="N82" s="143" t="s">
        <v>292</v>
      </c>
      <c r="O82" s="143"/>
      <c r="P82" s="143"/>
      <c r="Q82" s="143" t="s">
        <v>121</v>
      </c>
      <c r="R82" s="143" t="s">
        <v>58</v>
      </c>
      <c r="S82" s="147"/>
      <c r="T82" s="143"/>
      <c r="U82" s="143"/>
      <c r="V82" s="143"/>
      <c r="W82" s="143"/>
      <c r="X82" s="143"/>
      <c r="Y82" s="143"/>
      <c r="Z82" s="143"/>
      <c r="AA82" s="143"/>
      <c r="AB82" s="143"/>
      <c r="AC82" s="143"/>
      <c r="AD82" s="153"/>
      <c r="AE82" s="153"/>
      <c r="AF82" s="143"/>
      <c r="AG82" s="155"/>
      <c r="AH82" s="147" t="s">
        <v>26</v>
      </c>
      <c r="AI82" s="151" t="s">
        <v>76</v>
      </c>
      <c r="AJ82" s="146"/>
      <c r="AK82" s="146" t="s">
        <v>292</v>
      </c>
      <c r="AL82" s="146" t="s">
        <v>292</v>
      </c>
      <c r="AM82" s="143"/>
      <c r="AN82" s="143"/>
      <c r="AO82" s="143"/>
      <c r="AP82" s="152"/>
      <c r="AQ82" s="153"/>
      <c r="AR82" s="153"/>
      <c r="AS82" s="153"/>
      <c r="AT82" s="153"/>
      <c r="AU82" s="154"/>
      <c r="AV82" s="153" t="s">
        <v>106</v>
      </c>
      <c r="AW82" s="153" t="s">
        <v>106</v>
      </c>
      <c r="AX82" s="153" t="s">
        <v>106</v>
      </c>
      <c r="AY82" s="153" t="s">
        <v>106</v>
      </c>
      <c r="AZ82" s="153" t="s">
        <v>106</v>
      </c>
      <c r="BA82" s="154" t="s">
        <v>114</v>
      </c>
      <c r="BB82" s="152">
        <v>118345</v>
      </c>
      <c r="BC82" s="153">
        <v>118345</v>
      </c>
      <c r="BD82" s="153">
        <v>118345</v>
      </c>
      <c r="BE82" s="153">
        <v>118345</v>
      </c>
      <c r="BF82" s="153">
        <v>118345</v>
      </c>
      <c r="BG82" s="157"/>
      <c r="BH82" s="155"/>
      <c r="BI82" s="152" t="s">
        <v>920</v>
      </c>
      <c r="BJ82" s="153" t="s">
        <v>920</v>
      </c>
      <c r="BK82" s="153" t="s">
        <v>920</v>
      </c>
      <c r="BL82" s="153" t="s">
        <v>920</v>
      </c>
      <c r="BM82" s="153" t="s">
        <v>920</v>
      </c>
      <c r="BN82" s="154">
        <f>SUMIF(BI82:BM82,"&gt;0",BI82:BM82)</f>
        <v>0</v>
      </c>
      <c r="BO82" s="156"/>
      <c r="BP82" s="148"/>
      <c r="BQ82" s="153"/>
      <c r="BR82" s="153"/>
      <c r="BS82" s="152"/>
      <c r="BT82" s="148"/>
      <c r="BU82" s="148"/>
      <c r="BV82" s="148"/>
      <c r="BW82" s="148"/>
      <c r="BX82" s="154">
        <f>SUM(BS82:BW82)</f>
        <v>0</v>
      </c>
      <c r="BY82" s="143"/>
      <c r="BZ82" s="143"/>
      <c r="CA82" s="143"/>
      <c r="CB82" s="143"/>
      <c r="CC82" s="143"/>
      <c r="CD82" s="155"/>
    </row>
    <row r="83" spans="1:82" ht="14.5">
      <c r="A83" s="143" t="s">
        <v>590</v>
      </c>
      <c r="B83" s="143" t="s">
        <v>2026</v>
      </c>
      <c r="C83" s="144" t="s">
        <v>691</v>
      </c>
      <c r="D83" s="144" t="s">
        <v>2003</v>
      </c>
      <c r="E83" s="145" t="s">
        <v>692</v>
      </c>
      <c r="F83" s="143" t="str">
        <f>SUBSTITUTE(E83," ","")</f>
        <v>29086197757</v>
      </c>
      <c r="G83" s="143" t="s">
        <v>1730</v>
      </c>
      <c r="H83" s="143" t="s">
        <v>81</v>
      </c>
      <c r="I83" s="143">
        <v>6714</v>
      </c>
      <c r="J83" s="143">
        <v>-19.929383000000001</v>
      </c>
      <c r="K83" s="143">
        <v>115.38395</v>
      </c>
      <c r="L83" s="143">
        <v>2017</v>
      </c>
      <c r="M83" s="143">
        <v>5</v>
      </c>
      <c r="N83" s="143">
        <v>2047</v>
      </c>
      <c r="O83" s="143"/>
      <c r="P83" s="143"/>
      <c r="Q83" s="143" t="s">
        <v>121</v>
      </c>
      <c r="R83" s="143" t="s">
        <v>58</v>
      </c>
      <c r="S83" s="147"/>
      <c r="T83" s="143"/>
      <c r="U83" s="143"/>
      <c r="V83" s="143"/>
      <c r="W83" s="143"/>
      <c r="X83" s="143"/>
      <c r="Y83" s="143"/>
      <c r="Z83" s="143"/>
      <c r="AA83" s="143"/>
      <c r="AB83" s="143"/>
      <c r="AC83" s="143"/>
      <c r="AD83" s="153"/>
      <c r="AE83" s="153"/>
      <c r="AF83" s="143"/>
      <c r="AG83" s="155"/>
      <c r="AH83" s="147" t="s">
        <v>26</v>
      </c>
      <c r="AI83" s="151" t="s">
        <v>76</v>
      </c>
      <c r="AJ83" s="146"/>
      <c r="AK83" s="146" t="s">
        <v>292</v>
      </c>
      <c r="AL83" s="146" t="s">
        <v>292</v>
      </c>
      <c r="AM83" s="143"/>
      <c r="AN83" s="143"/>
      <c r="AO83" s="143"/>
      <c r="AP83" s="152"/>
      <c r="AQ83" s="153"/>
      <c r="AR83" s="153"/>
      <c r="AS83" s="153"/>
      <c r="AT83" s="153"/>
      <c r="AU83" s="154"/>
      <c r="AV83" s="153" t="s">
        <v>114</v>
      </c>
      <c r="AW83" s="153" t="s">
        <v>59</v>
      </c>
      <c r="AX83" s="153" t="s">
        <v>59</v>
      </c>
      <c r="AY83" s="153" t="s">
        <v>59</v>
      </c>
      <c r="AZ83" s="153" t="s">
        <v>73</v>
      </c>
      <c r="BA83" s="154" t="s">
        <v>73</v>
      </c>
      <c r="BB83" s="152" t="s">
        <v>114</v>
      </c>
      <c r="BC83" s="153">
        <v>4093724</v>
      </c>
      <c r="BD83" s="153">
        <v>4093724</v>
      </c>
      <c r="BE83" s="157">
        <v>4093724</v>
      </c>
      <c r="BF83" s="157">
        <v>4343119</v>
      </c>
      <c r="BG83" s="157"/>
      <c r="BH83" s="155"/>
      <c r="BI83" s="152" t="s">
        <v>920</v>
      </c>
      <c r="BJ83" s="153">
        <v>2924996</v>
      </c>
      <c r="BK83" s="153">
        <v>4056663</v>
      </c>
      <c r="BL83" s="153">
        <v>3848864</v>
      </c>
      <c r="BM83" s="153">
        <v>4025254</v>
      </c>
      <c r="BN83" s="154">
        <f>SUMIF(BI83:BM83,"&gt;0",BI83:BM83)</f>
        <v>14855777</v>
      </c>
      <c r="BO83" s="156">
        <v>9878000</v>
      </c>
      <c r="BP83" s="148">
        <v>9878000</v>
      </c>
      <c r="BQ83" s="153">
        <v>9878000</v>
      </c>
      <c r="BR83" s="153">
        <v>9878000</v>
      </c>
      <c r="BS83" s="152"/>
      <c r="BT83" s="148"/>
      <c r="BU83" s="148"/>
      <c r="BV83" s="148"/>
      <c r="BW83" s="148"/>
      <c r="BX83" s="154">
        <f>SUM(BS83:BW83)</f>
        <v>0</v>
      </c>
      <c r="BY83" s="143"/>
      <c r="BZ83" s="143"/>
      <c r="CA83" s="143"/>
      <c r="CB83" s="143"/>
      <c r="CC83" s="143"/>
      <c r="CD83" s="155"/>
    </row>
    <row r="84" spans="1:82" ht="14.5">
      <c r="A84" s="143" t="s">
        <v>581</v>
      </c>
      <c r="B84" s="143" t="s">
        <v>2002</v>
      </c>
      <c r="C84" s="144" t="s">
        <v>691</v>
      </c>
      <c r="D84" s="144" t="s">
        <v>2003</v>
      </c>
      <c r="E84" s="145" t="s">
        <v>692</v>
      </c>
      <c r="F84" s="143" t="str">
        <f>SUBSTITUTE(E84," ","")</f>
        <v>29086197757</v>
      </c>
      <c r="G84" s="143" t="s">
        <v>1365</v>
      </c>
      <c r="H84" s="143" t="s">
        <v>81</v>
      </c>
      <c r="I84" s="143">
        <v>6712</v>
      </c>
      <c r="J84" s="143">
        <v>-20.821389</v>
      </c>
      <c r="K84" s="143">
        <v>115.393056</v>
      </c>
      <c r="L84" s="143" t="s">
        <v>292</v>
      </c>
      <c r="M84" s="143" t="s">
        <v>292</v>
      </c>
      <c r="N84" s="143" t="s">
        <v>292</v>
      </c>
      <c r="O84" s="143"/>
      <c r="P84" s="143"/>
      <c r="Q84" s="143" t="s">
        <v>121</v>
      </c>
      <c r="R84" s="143" t="s">
        <v>58</v>
      </c>
      <c r="S84" s="147"/>
      <c r="T84" s="143"/>
      <c r="U84" s="143"/>
      <c r="V84" s="143"/>
      <c r="W84" s="143"/>
      <c r="X84" s="143"/>
      <c r="Y84" s="143"/>
      <c r="Z84" s="143"/>
      <c r="AA84" s="143"/>
      <c r="AB84" s="143"/>
      <c r="AC84" s="143"/>
      <c r="AD84" s="153"/>
      <c r="AE84" s="153"/>
      <c r="AF84" s="143"/>
      <c r="AG84" s="155"/>
      <c r="AH84" s="147" t="s">
        <v>26</v>
      </c>
      <c r="AI84" s="151" t="s">
        <v>76</v>
      </c>
      <c r="AJ84" s="146"/>
      <c r="AK84" s="146" t="s">
        <v>292</v>
      </c>
      <c r="AL84" s="146" t="s">
        <v>292</v>
      </c>
      <c r="AM84" s="143"/>
      <c r="AN84" s="143"/>
      <c r="AO84" s="143"/>
      <c r="AP84" s="152"/>
      <c r="AQ84" s="153"/>
      <c r="AR84" s="153"/>
      <c r="AS84" s="153"/>
      <c r="AT84" s="153"/>
      <c r="AU84" s="154"/>
      <c r="AV84" s="153" t="s">
        <v>106</v>
      </c>
      <c r="AW84" s="153" t="s">
        <v>106</v>
      </c>
      <c r="AX84" s="153" t="s">
        <v>106</v>
      </c>
      <c r="AY84" s="153" t="s">
        <v>106</v>
      </c>
      <c r="AZ84" s="153" t="s">
        <v>106</v>
      </c>
      <c r="BA84" s="154" t="s">
        <v>114</v>
      </c>
      <c r="BB84" s="152">
        <v>152278</v>
      </c>
      <c r="BC84" s="153">
        <v>152278</v>
      </c>
      <c r="BD84" s="153">
        <v>152278</v>
      </c>
      <c r="BE84" s="153">
        <v>152278</v>
      </c>
      <c r="BF84" s="153">
        <v>152278</v>
      </c>
      <c r="BG84" s="157"/>
      <c r="BH84" s="155"/>
      <c r="BI84" s="152" t="s">
        <v>920</v>
      </c>
      <c r="BJ84" s="153" t="s">
        <v>920</v>
      </c>
      <c r="BK84" s="153" t="s">
        <v>920</v>
      </c>
      <c r="BL84" s="153" t="s">
        <v>920</v>
      </c>
      <c r="BM84" s="153" t="s">
        <v>920</v>
      </c>
      <c r="BN84" s="154">
        <f>SUMIF(BI84:BM84,"&gt;0",BI84:BM84)</f>
        <v>0</v>
      </c>
      <c r="BO84" s="156"/>
      <c r="BP84" s="148"/>
      <c r="BQ84" s="153"/>
      <c r="BR84" s="153"/>
      <c r="BS84" s="152"/>
      <c r="BT84" s="148"/>
      <c r="BU84" s="148"/>
      <c r="BV84" s="148"/>
      <c r="BW84" s="148"/>
      <c r="BX84" s="154">
        <f>SUM(BS84:BW84)</f>
        <v>0</v>
      </c>
      <c r="BY84" s="143"/>
      <c r="BZ84" s="143"/>
      <c r="CA84" s="143"/>
      <c r="CB84" s="143"/>
      <c r="CC84" s="143"/>
      <c r="CD84" s="155"/>
    </row>
    <row r="85" spans="1:82" ht="14.5">
      <c r="A85" s="143" t="s">
        <v>515</v>
      </c>
      <c r="B85" s="143" t="s">
        <v>1782</v>
      </c>
      <c r="C85" s="144" t="s">
        <v>787</v>
      </c>
      <c r="D85" s="144" t="s">
        <v>1781</v>
      </c>
      <c r="E85" s="145" t="s">
        <v>788</v>
      </c>
      <c r="F85" s="143" t="str">
        <f>SUBSTITUTE(E85," ","")</f>
        <v>62054196771</v>
      </c>
      <c r="G85" s="143" t="s">
        <v>1783</v>
      </c>
      <c r="H85" s="143" t="s">
        <v>31</v>
      </c>
      <c r="I85" s="143">
        <v>2036</v>
      </c>
      <c r="J85" s="143">
        <v>-33.975015999999997</v>
      </c>
      <c r="K85" s="143">
        <v>151.220482</v>
      </c>
      <c r="L85" s="143">
        <v>1942</v>
      </c>
      <c r="M85" s="143">
        <v>80</v>
      </c>
      <c r="N85" s="143">
        <v>0</v>
      </c>
      <c r="O85" s="143"/>
      <c r="P85" s="143"/>
      <c r="Q85" s="143" t="s">
        <v>140</v>
      </c>
      <c r="R85" s="143" t="s">
        <v>72</v>
      </c>
      <c r="S85" s="147"/>
      <c r="T85" s="143"/>
      <c r="U85" s="143"/>
      <c r="V85" s="143"/>
      <c r="W85" s="143"/>
      <c r="X85" s="143"/>
      <c r="Y85" s="143"/>
      <c r="Z85" s="143"/>
      <c r="AA85" s="143"/>
      <c r="AB85" s="143"/>
      <c r="AC85" s="143"/>
      <c r="AD85" s="153"/>
      <c r="AE85" s="153"/>
      <c r="AF85" s="143"/>
      <c r="AG85" s="155"/>
      <c r="AH85" s="150" t="s">
        <v>37</v>
      </c>
      <c r="AI85" s="151" t="s">
        <v>76</v>
      </c>
      <c r="AJ85" s="151" t="s">
        <v>70</v>
      </c>
      <c r="AK85" s="151" t="s">
        <v>70</v>
      </c>
      <c r="AL85" s="151" t="s">
        <v>118</v>
      </c>
      <c r="AM85" s="151" t="s">
        <v>70</v>
      </c>
      <c r="AN85" s="151" t="s">
        <v>70</v>
      </c>
      <c r="AO85" s="151" t="s">
        <v>70</v>
      </c>
      <c r="AP85" s="152"/>
      <c r="AQ85" s="153"/>
      <c r="AR85" s="153"/>
      <c r="AS85" s="153"/>
      <c r="AT85" s="153"/>
      <c r="AU85" s="154"/>
      <c r="AV85" s="153" t="s">
        <v>1028</v>
      </c>
      <c r="AW85" s="153" t="s">
        <v>106</v>
      </c>
      <c r="AX85" s="153" t="s">
        <v>106</v>
      </c>
      <c r="AY85" s="153" t="s">
        <v>106</v>
      </c>
      <c r="AZ85" s="153" t="s">
        <v>73</v>
      </c>
      <c r="BA85" s="154" t="s">
        <v>73</v>
      </c>
      <c r="BB85" s="152">
        <v>488720</v>
      </c>
      <c r="BC85" s="153">
        <v>488720</v>
      </c>
      <c r="BD85" s="153">
        <v>488720</v>
      </c>
      <c r="BE85" s="157">
        <v>488720</v>
      </c>
      <c r="BF85" s="157">
        <v>551253</v>
      </c>
      <c r="BG85" s="157"/>
      <c r="BH85" s="155"/>
      <c r="BI85" s="152">
        <v>532039</v>
      </c>
      <c r="BJ85" s="153">
        <v>487413</v>
      </c>
      <c r="BK85" s="153">
        <v>468729</v>
      </c>
      <c r="BL85" s="153">
        <v>471188</v>
      </c>
      <c r="BM85" s="153">
        <v>461734</v>
      </c>
      <c r="BN85" s="154">
        <f>SUMIF(BI85:BM85,"&gt;0",BI85:BM85)</f>
        <v>2421103</v>
      </c>
      <c r="BO85" s="156"/>
      <c r="BP85" s="148"/>
      <c r="BQ85" s="153"/>
      <c r="BR85" s="153"/>
      <c r="BS85" s="152"/>
      <c r="BT85" s="148"/>
      <c r="BU85" s="148"/>
      <c r="BV85" s="148"/>
      <c r="BW85" s="148"/>
      <c r="BX85" s="154">
        <f>SUM(BS85:BW85)</f>
        <v>0</v>
      </c>
      <c r="BY85" s="143"/>
      <c r="BZ85" s="143"/>
      <c r="CA85" s="143"/>
      <c r="CB85" s="143"/>
      <c r="CC85" s="143"/>
      <c r="CD85" s="155"/>
    </row>
    <row r="86" spans="1:82" ht="14.5">
      <c r="A86" s="143" t="s">
        <v>514</v>
      </c>
      <c r="B86" s="143" t="s">
        <v>787</v>
      </c>
      <c r="C86" s="144" t="s">
        <v>787</v>
      </c>
      <c r="D86" s="144" t="s">
        <v>1781</v>
      </c>
      <c r="E86" s="145" t="s">
        <v>788</v>
      </c>
      <c r="F86" s="143" t="str">
        <f>SUBSTITUTE(E86," ","")</f>
        <v>62054196771</v>
      </c>
      <c r="G86" s="143" t="s">
        <v>1548</v>
      </c>
      <c r="H86" s="143" t="s">
        <v>74</v>
      </c>
      <c r="I86" s="143">
        <v>3018</v>
      </c>
      <c r="J86" s="143">
        <v>-37.850816000000002</v>
      </c>
      <c r="K86" s="143">
        <v>144.813278</v>
      </c>
      <c r="L86" s="143">
        <v>1967</v>
      </c>
      <c r="M86" s="143">
        <v>55</v>
      </c>
      <c r="N86" s="143">
        <v>0</v>
      </c>
      <c r="O86" s="143"/>
      <c r="P86" s="143"/>
      <c r="Q86" s="143" t="s">
        <v>213</v>
      </c>
      <c r="R86" s="143" t="s">
        <v>72</v>
      </c>
      <c r="S86" s="147"/>
      <c r="T86" s="143"/>
      <c r="U86" s="143"/>
      <c r="V86" s="143"/>
      <c r="W86" s="143"/>
      <c r="X86" s="143"/>
      <c r="Y86" s="143"/>
      <c r="Z86" s="143"/>
      <c r="AA86" s="143"/>
      <c r="AB86" s="143"/>
      <c r="AC86" s="143"/>
      <c r="AD86" s="153"/>
      <c r="AE86" s="153"/>
      <c r="AF86" s="143"/>
      <c r="AG86" s="155"/>
      <c r="AH86" s="150" t="s">
        <v>37</v>
      </c>
      <c r="AI86" s="151" t="s">
        <v>76</v>
      </c>
      <c r="AJ86" s="151" t="s">
        <v>70</v>
      </c>
      <c r="AK86" s="151" t="s">
        <v>70</v>
      </c>
      <c r="AL86" s="151" t="s">
        <v>118</v>
      </c>
      <c r="AM86" s="151" t="s">
        <v>70</v>
      </c>
      <c r="AN86" s="151" t="s">
        <v>70</v>
      </c>
      <c r="AO86" s="151" t="s">
        <v>70</v>
      </c>
      <c r="AP86" s="152"/>
      <c r="AQ86" s="153"/>
      <c r="AR86" s="153"/>
      <c r="AS86" s="153"/>
      <c r="AT86" s="153"/>
      <c r="AU86" s="154"/>
      <c r="AV86" s="153" t="s">
        <v>1028</v>
      </c>
      <c r="AW86" s="153" t="s">
        <v>106</v>
      </c>
      <c r="AX86" s="153" t="s">
        <v>106</v>
      </c>
      <c r="AY86" s="153" t="s">
        <v>106</v>
      </c>
      <c r="AZ86" s="153" t="s">
        <v>98</v>
      </c>
      <c r="BA86" s="154" t="s">
        <v>98</v>
      </c>
      <c r="BB86" s="152">
        <v>364892</v>
      </c>
      <c r="BC86" s="153">
        <v>364892</v>
      </c>
      <c r="BD86" s="153">
        <v>364892</v>
      </c>
      <c r="BE86" s="157">
        <v>364892</v>
      </c>
      <c r="BF86" s="157">
        <v>394357</v>
      </c>
      <c r="BG86" s="157"/>
      <c r="BH86" s="155"/>
      <c r="BI86" s="152">
        <v>343208</v>
      </c>
      <c r="BJ86" s="153">
        <v>361163</v>
      </c>
      <c r="BK86" s="153">
        <v>358979</v>
      </c>
      <c r="BL86" s="153">
        <v>353050</v>
      </c>
      <c r="BM86" s="153">
        <v>347300</v>
      </c>
      <c r="BN86" s="154">
        <f>SUMIF(BI86:BM86,"&gt;0",BI86:BM86)</f>
        <v>1763700</v>
      </c>
      <c r="BO86" s="156"/>
      <c r="BP86" s="148"/>
      <c r="BQ86" s="153"/>
      <c r="BR86" s="153"/>
      <c r="BS86" s="152"/>
      <c r="BT86" s="148"/>
      <c r="BU86" s="148"/>
      <c r="BV86" s="148"/>
      <c r="BW86" s="148"/>
      <c r="BX86" s="154">
        <f>SUM(BS86:BW86)</f>
        <v>0</v>
      </c>
      <c r="BY86" s="143"/>
      <c r="BZ86" s="143"/>
      <c r="CA86" s="143"/>
      <c r="CB86" s="143"/>
      <c r="CC86" s="143"/>
      <c r="CD86" s="155"/>
    </row>
    <row r="87" spans="1:82" ht="14.5">
      <c r="A87" s="143" t="s">
        <v>547</v>
      </c>
      <c r="B87" s="143" t="s">
        <v>1889</v>
      </c>
      <c r="C87" s="144" t="s">
        <v>813</v>
      </c>
      <c r="D87" s="144" t="s">
        <v>1890</v>
      </c>
      <c r="E87" s="145" t="s">
        <v>814</v>
      </c>
      <c r="F87" s="143" t="str">
        <f>SUBSTITUTE(E87," ","")</f>
        <v>64119578371</v>
      </c>
      <c r="G87" s="143" t="s">
        <v>1891</v>
      </c>
      <c r="H87" s="143" t="s">
        <v>81</v>
      </c>
      <c r="I87" s="143">
        <v>6714</v>
      </c>
      <c r="J87" s="143">
        <v>-20.84</v>
      </c>
      <c r="K87" s="143">
        <v>116.21</v>
      </c>
      <c r="L87" s="143">
        <v>2013</v>
      </c>
      <c r="M87" s="143">
        <v>9</v>
      </c>
      <c r="N87" s="143">
        <v>2048</v>
      </c>
      <c r="O87" s="143"/>
      <c r="P87" s="143"/>
      <c r="Q87" s="143" t="s">
        <v>277</v>
      </c>
      <c r="R87" s="143" t="s">
        <v>79</v>
      </c>
      <c r="S87" s="147"/>
      <c r="T87" s="143"/>
      <c r="U87" s="143"/>
      <c r="V87" s="143"/>
      <c r="W87" s="143"/>
      <c r="X87" s="143"/>
      <c r="Y87" s="143"/>
      <c r="Z87" s="143"/>
      <c r="AA87" s="143"/>
      <c r="AB87" s="143"/>
      <c r="AC87" s="143"/>
      <c r="AD87" s="153"/>
      <c r="AE87" s="153"/>
      <c r="AF87" s="143"/>
      <c r="AG87" s="155"/>
      <c r="AH87" s="150" t="s">
        <v>37</v>
      </c>
      <c r="AI87" s="151" t="s">
        <v>76</v>
      </c>
      <c r="AJ87" s="151" t="s">
        <v>70</v>
      </c>
      <c r="AK87" s="151" t="s">
        <v>70</v>
      </c>
      <c r="AL87" s="151" t="s">
        <v>118</v>
      </c>
      <c r="AM87" s="151" t="s">
        <v>70</v>
      </c>
      <c r="AN87" s="151" t="s">
        <v>70</v>
      </c>
      <c r="AO87" s="151" t="s">
        <v>70</v>
      </c>
      <c r="AP87" s="152"/>
      <c r="AQ87" s="153"/>
      <c r="AR87" s="153"/>
      <c r="AS87" s="153"/>
      <c r="AT87" s="153"/>
      <c r="AU87" s="154"/>
      <c r="AV87" s="153" t="s">
        <v>41</v>
      </c>
      <c r="AW87" s="153" t="s">
        <v>41</v>
      </c>
      <c r="AX87" s="153" t="s">
        <v>41</v>
      </c>
      <c r="AY87" s="153" t="s">
        <v>98</v>
      </c>
      <c r="AZ87" s="153" t="s">
        <v>98</v>
      </c>
      <c r="BA87" s="154" t="s">
        <v>98</v>
      </c>
      <c r="BB87" s="152">
        <v>1293069</v>
      </c>
      <c r="BC87" s="153">
        <v>1293069</v>
      </c>
      <c r="BD87" s="153">
        <v>1293069</v>
      </c>
      <c r="BE87" s="157">
        <v>1679069</v>
      </c>
      <c r="BF87" s="157">
        <v>1639229</v>
      </c>
      <c r="BG87" s="157"/>
      <c r="BH87" s="155"/>
      <c r="BI87" s="152">
        <v>1051543</v>
      </c>
      <c r="BJ87" s="153">
        <v>1179835</v>
      </c>
      <c r="BK87" s="153">
        <v>1256525</v>
      </c>
      <c r="BL87" s="153">
        <v>1305831</v>
      </c>
      <c r="BM87" s="153">
        <v>1241225</v>
      </c>
      <c r="BN87" s="154">
        <f>SUMIF(BI87:BM87,"&gt;0",BI87:BM87)</f>
        <v>6034959</v>
      </c>
      <c r="BO87" s="156"/>
      <c r="BP87" s="148"/>
      <c r="BQ87" s="153"/>
      <c r="BR87" s="153"/>
      <c r="BS87" s="152"/>
      <c r="BT87" s="148"/>
      <c r="BU87" s="148"/>
      <c r="BV87" s="148"/>
      <c r="BW87" s="148"/>
      <c r="BX87" s="154">
        <f>SUM(BS87:BW87)</f>
        <v>0</v>
      </c>
      <c r="BY87" s="143"/>
      <c r="BZ87" s="143"/>
      <c r="CA87" s="143"/>
      <c r="CB87" s="143"/>
      <c r="CC87" s="143"/>
      <c r="CD87" s="155"/>
    </row>
    <row r="88" spans="1:82" ht="14.5">
      <c r="A88" s="143" t="s">
        <v>461</v>
      </c>
      <c r="B88" s="143"/>
      <c r="C88" s="144" t="s">
        <v>748</v>
      </c>
      <c r="D88" s="144" t="s">
        <v>1593</v>
      </c>
      <c r="E88" s="145" t="s">
        <v>1594</v>
      </c>
      <c r="F88" s="143" t="str">
        <f>SUBSTITUTE(E88," ","")</f>
        <v>83104036937</v>
      </c>
      <c r="G88" s="143" t="s">
        <v>292</v>
      </c>
      <c r="H88" s="143" t="s">
        <v>74</v>
      </c>
      <c r="I88" s="143" t="s">
        <v>292</v>
      </c>
      <c r="J88" s="143" t="s">
        <v>292</v>
      </c>
      <c r="K88" s="143" t="s">
        <v>292</v>
      </c>
      <c r="L88" s="143" t="s">
        <v>292</v>
      </c>
      <c r="M88" s="143" t="s">
        <v>292</v>
      </c>
      <c r="N88" s="143" t="s">
        <v>292</v>
      </c>
      <c r="O88" s="143"/>
      <c r="P88" s="143"/>
      <c r="Q88" s="143" t="s">
        <v>110</v>
      </c>
      <c r="R88" s="143" t="s">
        <v>58</v>
      </c>
      <c r="S88" s="147"/>
      <c r="T88" s="143"/>
      <c r="U88" s="143"/>
      <c r="V88" s="143"/>
      <c r="W88" s="143"/>
      <c r="X88" s="143"/>
      <c r="Y88" s="143"/>
      <c r="Z88" s="143"/>
      <c r="AA88" s="143"/>
      <c r="AB88" s="143"/>
      <c r="AC88" s="143"/>
      <c r="AD88" s="153"/>
      <c r="AE88" s="153"/>
      <c r="AF88" s="143"/>
      <c r="AG88" s="155"/>
      <c r="AH88" s="147" t="s">
        <v>26</v>
      </c>
      <c r="AI88" s="151" t="s">
        <v>76</v>
      </c>
      <c r="AJ88" s="146"/>
      <c r="AK88" s="146" t="s">
        <v>292</v>
      </c>
      <c r="AL88" s="146" t="s">
        <v>292</v>
      </c>
      <c r="AM88" s="143"/>
      <c r="AN88" s="143"/>
      <c r="AO88" s="143"/>
      <c r="AP88" s="152" t="s">
        <v>26</v>
      </c>
      <c r="AQ88" s="153" t="s">
        <v>26</v>
      </c>
      <c r="AR88" s="160" t="str">
        <f>IF(BF88&gt;(BB88*1.1),"yes","no")</f>
        <v>no</v>
      </c>
      <c r="AS88" s="160" t="str">
        <f>IF(BM88&gt;(BJ88*1.1),"yes","no")</f>
        <v>no</v>
      </c>
      <c r="AT88" s="160" t="str">
        <f>IF(BM88&gt;(BI88*1.1),"yes","no")</f>
        <v>no</v>
      </c>
      <c r="AU88" s="154">
        <v>0</v>
      </c>
      <c r="AV88" s="153" t="s">
        <v>108</v>
      </c>
      <c r="AW88" s="153" t="s">
        <v>108</v>
      </c>
      <c r="AX88" s="153" t="s">
        <v>108</v>
      </c>
      <c r="AY88" s="153" t="s">
        <v>106</v>
      </c>
      <c r="AZ88" s="153" t="s">
        <v>106</v>
      </c>
      <c r="BA88" s="154" t="s">
        <v>98</v>
      </c>
      <c r="BB88" s="152">
        <v>358206</v>
      </c>
      <c r="BC88" s="153">
        <v>358206</v>
      </c>
      <c r="BD88" s="153">
        <v>358206</v>
      </c>
      <c r="BE88" s="157">
        <v>358206</v>
      </c>
      <c r="BF88" s="157">
        <v>358206</v>
      </c>
      <c r="BG88" s="157"/>
      <c r="BH88" s="155"/>
      <c r="BI88" s="152">
        <v>366239</v>
      </c>
      <c r="BJ88" s="153">
        <v>235799</v>
      </c>
      <c r="BK88" s="153">
        <v>223704</v>
      </c>
      <c r="BL88" s="153">
        <v>213397</v>
      </c>
      <c r="BM88" s="153">
        <v>215224</v>
      </c>
      <c r="BN88" s="154">
        <f>SUMIF(BI88:BM88,"&gt;0",BI88:BM88)</f>
        <v>1254363</v>
      </c>
      <c r="BO88" s="156"/>
      <c r="BP88" s="148"/>
      <c r="BQ88" s="153"/>
      <c r="BR88" s="153"/>
      <c r="BS88" s="152"/>
      <c r="BT88" s="148"/>
      <c r="BU88" s="148"/>
      <c r="BV88" s="148"/>
      <c r="BW88" s="148"/>
      <c r="BX88" s="154">
        <f>SUM(BS88:BW88)</f>
        <v>0</v>
      </c>
      <c r="BY88" s="143"/>
      <c r="BZ88" s="143"/>
      <c r="CA88" s="143"/>
      <c r="CB88" s="143"/>
      <c r="CC88" s="143"/>
      <c r="CD88" s="155"/>
    </row>
    <row r="89" spans="1:82" ht="14.5">
      <c r="A89" s="143" t="s">
        <v>291</v>
      </c>
      <c r="B89" s="143" t="s">
        <v>997</v>
      </c>
      <c r="C89" s="144" t="s">
        <v>998</v>
      </c>
      <c r="D89" s="144" t="s">
        <v>999</v>
      </c>
      <c r="E89" s="217" t="s">
        <v>1000</v>
      </c>
      <c r="F89" s="143" t="str">
        <f>SUBSTITUTE(E89," ","")</f>
        <v>74101155220</v>
      </c>
      <c r="G89" s="143" t="s">
        <v>292</v>
      </c>
      <c r="H89" s="143" t="s">
        <v>74</v>
      </c>
      <c r="I89" s="143" t="s">
        <v>292</v>
      </c>
      <c r="J89" s="143" t="s">
        <v>292</v>
      </c>
      <c r="K89" s="143" t="s">
        <v>292</v>
      </c>
      <c r="L89" s="143" t="s">
        <v>292</v>
      </c>
      <c r="M89" s="143" t="s">
        <v>292</v>
      </c>
      <c r="N89" s="143" t="s">
        <v>292</v>
      </c>
      <c r="O89" s="143"/>
      <c r="P89" s="143"/>
      <c r="Q89" s="146" t="s">
        <v>287</v>
      </c>
      <c r="R89" s="143" t="s">
        <v>85</v>
      </c>
      <c r="S89" s="147" t="s">
        <v>612</v>
      </c>
      <c r="T89" s="143">
        <v>2</v>
      </c>
      <c r="U89" s="146" t="s">
        <v>1001</v>
      </c>
      <c r="V89" s="146" t="s">
        <v>1002</v>
      </c>
      <c r="W89" s="146" t="s">
        <v>1003</v>
      </c>
      <c r="X89" s="146" t="s">
        <v>1004</v>
      </c>
      <c r="Y89" s="146" t="s">
        <v>1005</v>
      </c>
      <c r="Z89" s="146" t="s">
        <v>1006</v>
      </c>
      <c r="AA89" s="146" t="s">
        <v>1007</v>
      </c>
      <c r="AB89" s="148">
        <f>0+2068873</f>
        <v>2068873</v>
      </c>
      <c r="AC89" s="148" t="s">
        <v>1008</v>
      </c>
      <c r="AD89" s="148">
        <v>494858</v>
      </c>
      <c r="AE89" s="148">
        <v>494858</v>
      </c>
      <c r="AF89" s="146" t="s">
        <v>1009</v>
      </c>
      <c r="AG89" s="149" t="s">
        <v>1010</v>
      </c>
      <c r="AH89" s="150" t="s">
        <v>37</v>
      </c>
      <c r="AI89" s="151" t="s">
        <v>76</v>
      </c>
      <c r="AJ89" s="151" t="s">
        <v>70</v>
      </c>
      <c r="AK89" s="151" t="s">
        <v>70</v>
      </c>
      <c r="AL89" s="151" t="s">
        <v>118</v>
      </c>
      <c r="AM89" s="151" t="s">
        <v>70</v>
      </c>
      <c r="AN89" s="151" t="s">
        <v>70</v>
      </c>
      <c r="AO89" s="151" t="s">
        <v>70</v>
      </c>
      <c r="AP89" s="152"/>
      <c r="AQ89" s="153"/>
      <c r="AR89" s="153"/>
      <c r="AS89" s="153"/>
      <c r="AT89" s="153"/>
      <c r="AU89" s="154"/>
      <c r="AV89" s="153" t="s">
        <v>106</v>
      </c>
      <c r="AW89" s="153" t="s">
        <v>106</v>
      </c>
      <c r="AX89" s="153" t="s">
        <v>106</v>
      </c>
      <c r="AY89" s="153" t="s">
        <v>106</v>
      </c>
      <c r="AZ89" s="153" t="s">
        <v>106</v>
      </c>
      <c r="BA89" s="154" t="s">
        <v>114</v>
      </c>
      <c r="BB89" s="152">
        <v>100477</v>
      </c>
      <c r="BC89" s="153">
        <v>100477</v>
      </c>
      <c r="BD89" s="153">
        <v>100477</v>
      </c>
      <c r="BE89" s="153">
        <v>100477</v>
      </c>
      <c r="BF89" s="153">
        <v>112530</v>
      </c>
      <c r="BG89" s="153"/>
      <c r="BH89" s="199" t="s">
        <v>2075</v>
      </c>
      <c r="BI89" s="152" t="s">
        <v>920</v>
      </c>
      <c r="BJ89" s="153" t="s">
        <v>920</v>
      </c>
      <c r="BK89" s="153" t="s">
        <v>920</v>
      </c>
      <c r="BL89" s="153" t="s">
        <v>920</v>
      </c>
      <c r="BM89" s="153" t="s">
        <v>920</v>
      </c>
      <c r="BN89" s="154">
        <f>SUMIF(BI89:BM89,"&gt;0",BI89:BM89)</f>
        <v>0</v>
      </c>
      <c r="BO89" s="156"/>
      <c r="BP89" s="148"/>
      <c r="BQ89" s="153"/>
      <c r="BR89" s="153"/>
      <c r="BS89" s="152"/>
      <c r="BT89" s="148"/>
      <c r="BU89" s="148"/>
      <c r="BV89" s="148"/>
      <c r="BW89" s="148"/>
      <c r="BX89" s="154">
        <f>SUM(BS89:BW89)</f>
        <v>0</v>
      </c>
      <c r="BY89" s="143"/>
      <c r="BZ89" s="143"/>
      <c r="CA89" s="143"/>
      <c r="CB89" s="143"/>
      <c r="CC89" s="143"/>
      <c r="CD89" s="155"/>
    </row>
    <row r="90" spans="1:82" ht="14.5">
      <c r="A90" s="143" t="s">
        <v>467</v>
      </c>
      <c r="B90" s="143"/>
      <c r="C90" s="144"/>
      <c r="D90" s="144" t="s">
        <v>999</v>
      </c>
      <c r="E90" s="145" t="s">
        <v>1000</v>
      </c>
      <c r="F90" s="143" t="str">
        <f>SUBSTITUTE(E90," ","")</f>
        <v>74101155220</v>
      </c>
      <c r="G90" s="143" t="s">
        <v>1610</v>
      </c>
      <c r="H90" s="143" t="s">
        <v>53</v>
      </c>
      <c r="I90" s="143">
        <v>4303</v>
      </c>
      <c r="J90" s="143">
        <v>-27.607495</v>
      </c>
      <c r="K90" s="143">
        <v>152.834115</v>
      </c>
      <c r="L90" s="143" t="s">
        <v>292</v>
      </c>
      <c r="M90" s="143" t="s">
        <v>292</v>
      </c>
      <c r="N90" s="143" t="s">
        <v>292</v>
      </c>
      <c r="O90" s="143"/>
      <c r="P90" s="143"/>
      <c r="Q90" s="143" t="s">
        <v>287</v>
      </c>
      <c r="R90" s="143" t="s">
        <v>85</v>
      </c>
      <c r="S90" s="147" t="s">
        <v>612</v>
      </c>
      <c r="T90" s="143">
        <v>1</v>
      </c>
      <c r="U90" s="143" t="s">
        <v>1611</v>
      </c>
      <c r="V90" s="143" t="s">
        <v>1612</v>
      </c>
      <c r="W90" s="143" t="s">
        <v>1320</v>
      </c>
      <c r="X90" s="143" t="s">
        <v>85</v>
      </c>
      <c r="Y90" s="143" t="s">
        <v>1613</v>
      </c>
      <c r="Z90" s="143" t="s">
        <v>1614</v>
      </c>
      <c r="AA90" s="143" t="s">
        <v>1615</v>
      </c>
      <c r="AB90" s="153">
        <v>0</v>
      </c>
      <c r="AC90" s="153" t="s">
        <v>1044</v>
      </c>
      <c r="AD90" s="153"/>
      <c r="AE90" s="153"/>
      <c r="AF90" s="143" t="s">
        <v>1045</v>
      </c>
      <c r="AG90" s="155"/>
      <c r="AH90" s="150" t="s">
        <v>37</v>
      </c>
      <c r="AI90" s="151" t="s">
        <v>76</v>
      </c>
      <c r="AJ90" s="151" t="s">
        <v>70</v>
      </c>
      <c r="AK90" s="151" t="s">
        <v>70</v>
      </c>
      <c r="AL90" s="151" t="s">
        <v>118</v>
      </c>
      <c r="AM90" s="151" t="s">
        <v>70</v>
      </c>
      <c r="AN90" s="151" t="s">
        <v>70</v>
      </c>
      <c r="AO90" s="151" t="s">
        <v>70</v>
      </c>
      <c r="AP90" s="152"/>
      <c r="AQ90" s="153"/>
      <c r="AR90" s="153"/>
      <c r="AS90" s="153"/>
      <c r="AT90" s="153"/>
      <c r="AU90" s="154"/>
      <c r="AV90" s="153" t="s">
        <v>106</v>
      </c>
      <c r="AW90" s="153" t="s">
        <v>106</v>
      </c>
      <c r="AX90" s="153" t="s">
        <v>106</v>
      </c>
      <c r="AY90" s="153" t="s">
        <v>106</v>
      </c>
      <c r="AZ90" s="153" t="s">
        <v>106</v>
      </c>
      <c r="BA90" s="154" t="s">
        <v>114</v>
      </c>
      <c r="BB90" s="152">
        <v>156813</v>
      </c>
      <c r="BC90" s="153">
        <v>156813</v>
      </c>
      <c r="BD90" s="153">
        <v>156813</v>
      </c>
      <c r="BE90" s="153">
        <v>156813</v>
      </c>
      <c r="BF90" s="153">
        <v>156813</v>
      </c>
      <c r="BG90" s="157"/>
      <c r="BH90" s="155"/>
      <c r="BI90" s="152" t="s">
        <v>920</v>
      </c>
      <c r="BJ90" s="153" t="s">
        <v>920</v>
      </c>
      <c r="BK90" s="153" t="s">
        <v>920</v>
      </c>
      <c r="BL90" s="153" t="s">
        <v>920</v>
      </c>
      <c r="BM90" s="153" t="s">
        <v>920</v>
      </c>
      <c r="BN90" s="154">
        <f>SUMIF(BI90:BM90,"&gt;0",BI90:BM90)</f>
        <v>0</v>
      </c>
      <c r="BO90" s="156"/>
      <c r="BP90" s="148"/>
      <c r="BQ90" s="153"/>
      <c r="BR90" s="153"/>
      <c r="BS90" s="152"/>
      <c r="BT90" s="148"/>
      <c r="BU90" s="148"/>
      <c r="BV90" s="148"/>
      <c r="BW90" s="148"/>
      <c r="BX90" s="154">
        <f>SUM(BS90:BW90)</f>
        <v>0</v>
      </c>
      <c r="BY90" s="143"/>
      <c r="BZ90" s="143"/>
      <c r="CA90" s="143"/>
      <c r="CB90" s="143"/>
      <c r="CC90" s="143"/>
      <c r="CD90" s="155"/>
    </row>
    <row r="91" spans="1:82" ht="14.5">
      <c r="A91" s="143" t="s">
        <v>577</v>
      </c>
      <c r="B91" s="143" t="s">
        <v>1017</v>
      </c>
      <c r="C91" s="144" t="s">
        <v>998</v>
      </c>
      <c r="D91" s="144" t="s">
        <v>999</v>
      </c>
      <c r="E91" s="145" t="s">
        <v>1000</v>
      </c>
      <c r="F91" s="143" t="str">
        <f>SUBSTITUTE(E91," ","")</f>
        <v>74101155220</v>
      </c>
      <c r="G91" s="143" t="s">
        <v>292</v>
      </c>
      <c r="H91" s="143" t="s">
        <v>292</v>
      </c>
      <c r="I91" s="143" t="s">
        <v>292</v>
      </c>
      <c r="J91" s="143" t="s">
        <v>292</v>
      </c>
      <c r="K91" s="143" t="s">
        <v>292</v>
      </c>
      <c r="L91" s="143" t="s">
        <v>292</v>
      </c>
      <c r="M91" s="143" t="s">
        <v>292</v>
      </c>
      <c r="N91" s="143" t="s">
        <v>292</v>
      </c>
      <c r="O91" s="143"/>
      <c r="P91" s="143"/>
      <c r="Q91" s="143" t="s">
        <v>287</v>
      </c>
      <c r="R91" s="143" t="s">
        <v>85</v>
      </c>
      <c r="S91" s="147"/>
      <c r="T91" s="143"/>
      <c r="U91" s="143"/>
      <c r="V91" s="143"/>
      <c r="W91" s="143"/>
      <c r="X91" s="143"/>
      <c r="Y91" s="143"/>
      <c r="Z91" s="143"/>
      <c r="AA91" s="143"/>
      <c r="AB91" s="143"/>
      <c r="AC91" s="143"/>
      <c r="AD91" s="153"/>
      <c r="AE91" s="153"/>
      <c r="AF91" s="143"/>
      <c r="AG91" s="155"/>
      <c r="AH91" s="150" t="s">
        <v>37</v>
      </c>
      <c r="AI91" s="151" t="s">
        <v>76</v>
      </c>
      <c r="AJ91" s="151" t="s">
        <v>70</v>
      </c>
      <c r="AK91" s="151" t="s">
        <v>70</v>
      </c>
      <c r="AL91" s="151" t="s">
        <v>118</v>
      </c>
      <c r="AM91" s="151" t="s">
        <v>70</v>
      </c>
      <c r="AN91" s="151" t="s">
        <v>70</v>
      </c>
      <c r="AO91" s="151" t="s">
        <v>70</v>
      </c>
      <c r="AP91" s="152"/>
      <c r="AQ91" s="153"/>
      <c r="AR91" s="153"/>
      <c r="AS91" s="153"/>
      <c r="AT91" s="153"/>
      <c r="AU91" s="154"/>
      <c r="AV91" s="153" t="s">
        <v>106</v>
      </c>
      <c r="AW91" s="153" t="s">
        <v>106</v>
      </c>
      <c r="AX91" s="153" t="s">
        <v>106</v>
      </c>
      <c r="AY91" s="153" t="s">
        <v>106</v>
      </c>
      <c r="AZ91" s="153" t="s">
        <v>106</v>
      </c>
      <c r="BA91" s="154" t="s">
        <v>114</v>
      </c>
      <c r="BB91" s="152">
        <v>100981</v>
      </c>
      <c r="BC91" s="153">
        <v>100981</v>
      </c>
      <c r="BD91" s="153">
        <v>100981</v>
      </c>
      <c r="BE91" s="153">
        <v>100981</v>
      </c>
      <c r="BF91" s="153">
        <v>100981</v>
      </c>
      <c r="BG91" s="157"/>
      <c r="BH91" s="155"/>
      <c r="BI91" s="152" t="s">
        <v>920</v>
      </c>
      <c r="BJ91" s="153" t="s">
        <v>920</v>
      </c>
      <c r="BK91" s="153" t="s">
        <v>920</v>
      </c>
      <c r="BL91" s="153" t="s">
        <v>920</v>
      </c>
      <c r="BM91" s="153" t="s">
        <v>920</v>
      </c>
      <c r="BN91" s="154">
        <f>SUMIF(BI91:BM91,"&gt;0",BI91:BM91)</f>
        <v>0</v>
      </c>
      <c r="BO91" s="156"/>
      <c r="BP91" s="148"/>
      <c r="BQ91" s="153"/>
      <c r="BR91" s="153"/>
      <c r="BS91" s="152"/>
      <c r="BT91" s="148"/>
      <c r="BU91" s="148"/>
      <c r="BV91" s="148"/>
      <c r="BW91" s="148"/>
      <c r="BX91" s="154">
        <f>SUM(BS91:BW91)</f>
        <v>0</v>
      </c>
      <c r="BY91" s="143"/>
      <c r="BZ91" s="143"/>
      <c r="CA91" s="143"/>
      <c r="CB91" s="143"/>
      <c r="CC91" s="143"/>
      <c r="CD91" s="155"/>
    </row>
    <row r="92" spans="1:82" ht="14.5">
      <c r="A92" s="143" t="s">
        <v>296</v>
      </c>
      <c r="B92" s="143" t="s">
        <v>1029</v>
      </c>
      <c r="C92" s="144" t="s">
        <v>1030</v>
      </c>
      <c r="D92" s="159" t="s">
        <v>1031</v>
      </c>
      <c r="E92" s="145">
        <v>68001646331</v>
      </c>
      <c r="F92" s="143" t="str">
        <f>SUBSTITUTE(E92," ","")</f>
        <v>68001646331</v>
      </c>
      <c r="G92" s="143" t="s">
        <v>1032</v>
      </c>
      <c r="H92" s="143" t="s">
        <v>53</v>
      </c>
      <c r="I92" s="143">
        <v>4680</v>
      </c>
      <c r="J92" s="143">
        <v>-23.754999999999999</v>
      </c>
      <c r="K92" s="143">
        <v>151.19</v>
      </c>
      <c r="L92" s="143">
        <v>2016</v>
      </c>
      <c r="M92" s="143">
        <v>6</v>
      </c>
      <c r="N92" s="143">
        <v>0</v>
      </c>
      <c r="O92" s="143"/>
      <c r="P92" s="143"/>
      <c r="Q92" s="143" t="s">
        <v>121</v>
      </c>
      <c r="R92" s="143" t="s">
        <v>58</v>
      </c>
      <c r="S92" s="147"/>
      <c r="T92" s="143"/>
      <c r="U92" s="143"/>
      <c r="V92" s="143"/>
      <c r="W92" s="143"/>
      <c r="X92" s="143"/>
      <c r="Y92" s="143"/>
      <c r="Z92" s="143"/>
      <c r="AA92" s="143"/>
      <c r="AB92" s="143"/>
      <c r="AC92" s="143"/>
      <c r="AD92" s="153"/>
      <c r="AE92" s="153"/>
      <c r="AF92" s="143"/>
      <c r="AG92" s="155"/>
      <c r="AH92" s="147" t="s">
        <v>26</v>
      </c>
      <c r="AI92" s="151" t="s">
        <v>76</v>
      </c>
      <c r="AJ92" s="146"/>
      <c r="AK92" s="146" t="s">
        <v>292</v>
      </c>
      <c r="AL92" s="146" t="s">
        <v>292</v>
      </c>
      <c r="AM92" s="143"/>
      <c r="AN92" s="143"/>
      <c r="AO92" s="143"/>
      <c r="AP92" s="152"/>
      <c r="AQ92" s="153"/>
      <c r="AR92" s="153"/>
      <c r="AS92" s="153"/>
      <c r="AT92" s="153"/>
      <c r="AU92" s="154"/>
      <c r="AV92" s="153" t="s">
        <v>59</v>
      </c>
      <c r="AW92" s="153" t="s">
        <v>59</v>
      </c>
      <c r="AX92" s="153" t="s">
        <v>59</v>
      </c>
      <c r="AY92" s="153" t="s">
        <v>59</v>
      </c>
      <c r="AZ92" s="153" t="s">
        <v>59</v>
      </c>
      <c r="BA92" s="154" t="s">
        <v>98</v>
      </c>
      <c r="BB92" s="152">
        <v>2599192</v>
      </c>
      <c r="BC92" s="153">
        <v>2599192</v>
      </c>
      <c r="BD92" s="153">
        <v>2599192</v>
      </c>
      <c r="BE92" s="157">
        <v>2599192</v>
      </c>
      <c r="BF92" s="157">
        <v>2604999</v>
      </c>
      <c r="BG92" s="157"/>
      <c r="BH92" s="155"/>
      <c r="BI92" s="152">
        <v>1906267</v>
      </c>
      <c r="BJ92" s="153">
        <v>2016417</v>
      </c>
      <c r="BK92" s="153">
        <v>1981995</v>
      </c>
      <c r="BL92" s="153">
        <v>2061529</v>
      </c>
      <c r="BM92" s="153">
        <v>2070938</v>
      </c>
      <c r="BN92" s="154">
        <f>SUMIF(BI92:BM92,"&gt;0",BI92:BM92)</f>
        <v>10037146</v>
      </c>
      <c r="BO92" s="156"/>
      <c r="BP92" s="148"/>
      <c r="BQ92" s="153"/>
      <c r="BR92" s="153"/>
      <c r="BS92" s="152"/>
      <c r="BT92" s="148"/>
      <c r="BU92" s="148"/>
      <c r="BV92" s="148"/>
      <c r="BW92" s="148"/>
      <c r="BX92" s="154">
        <f>SUM(BS92:BW92)</f>
        <v>0</v>
      </c>
      <c r="BY92" s="143"/>
      <c r="BZ92" s="143"/>
      <c r="CA92" s="143"/>
      <c r="CB92" s="143"/>
      <c r="CC92" s="143"/>
      <c r="CD92" s="155"/>
    </row>
    <row r="93" spans="1:82" ht="14.5">
      <c r="A93" s="143" t="s">
        <v>353</v>
      </c>
      <c r="B93" s="143"/>
      <c r="C93" s="144"/>
      <c r="D93" s="159" t="s">
        <v>1031</v>
      </c>
      <c r="E93" s="145" t="s">
        <v>818</v>
      </c>
      <c r="F93" s="143" t="str">
        <f>SUBSTITUTE(E93," ","")</f>
        <v>67105423532</v>
      </c>
      <c r="G93" s="143" t="s">
        <v>1227</v>
      </c>
      <c r="H93" s="143" t="s">
        <v>53</v>
      </c>
      <c r="I93" s="143">
        <v>4415</v>
      </c>
      <c r="J93" s="143">
        <v>-26.781804000000001</v>
      </c>
      <c r="K93" s="143">
        <v>150.20691600000001</v>
      </c>
      <c r="L93" s="143" t="s">
        <v>292</v>
      </c>
      <c r="M93" s="143" t="s">
        <v>292</v>
      </c>
      <c r="N93" s="143" t="s">
        <v>292</v>
      </c>
      <c r="O93" s="143"/>
      <c r="P93" s="143"/>
      <c r="Q93" s="143" t="s">
        <v>121</v>
      </c>
      <c r="R93" s="143" t="s">
        <v>58</v>
      </c>
      <c r="S93" s="147"/>
      <c r="T93" s="143"/>
      <c r="U93" s="143"/>
      <c r="V93" s="143"/>
      <c r="W93" s="143"/>
      <c r="X93" s="143"/>
      <c r="Y93" s="143"/>
      <c r="Z93" s="143"/>
      <c r="AA93" s="143"/>
      <c r="AB93" s="143"/>
      <c r="AC93" s="143"/>
      <c r="AD93" s="153"/>
      <c r="AE93" s="153"/>
      <c r="AF93" s="143"/>
      <c r="AG93" s="155"/>
      <c r="AH93" s="147" t="s">
        <v>26</v>
      </c>
      <c r="AI93" s="151" t="s">
        <v>76</v>
      </c>
      <c r="AJ93" s="146"/>
      <c r="AK93" s="146" t="s">
        <v>292</v>
      </c>
      <c r="AL93" s="146" t="s">
        <v>292</v>
      </c>
      <c r="AM93" s="143"/>
      <c r="AN93" s="143"/>
      <c r="AO93" s="143"/>
      <c r="AP93" s="152"/>
      <c r="AQ93" s="153"/>
      <c r="AR93" s="153"/>
      <c r="AS93" s="153"/>
      <c r="AT93" s="153"/>
      <c r="AU93" s="154"/>
      <c r="AV93" s="153" t="s">
        <v>106</v>
      </c>
      <c r="AW93" s="153" t="s">
        <v>106</v>
      </c>
      <c r="AX93" s="153" t="s">
        <v>106</v>
      </c>
      <c r="AY93" s="153" t="s">
        <v>106</v>
      </c>
      <c r="AZ93" s="153" t="s">
        <v>106</v>
      </c>
      <c r="BA93" s="154" t="s">
        <v>114</v>
      </c>
      <c r="BB93" s="152">
        <v>278185</v>
      </c>
      <c r="BC93" s="153">
        <v>278185</v>
      </c>
      <c r="BD93" s="153">
        <v>278185</v>
      </c>
      <c r="BE93" s="153">
        <v>278185</v>
      </c>
      <c r="BF93" s="153">
        <v>278185</v>
      </c>
      <c r="BG93" s="157"/>
      <c r="BH93" s="155"/>
      <c r="BI93" s="152">
        <v>123939</v>
      </c>
      <c r="BJ93" s="153" t="s">
        <v>920</v>
      </c>
      <c r="BK93" s="153" t="s">
        <v>920</v>
      </c>
      <c r="BL93" s="153" t="s">
        <v>920</v>
      </c>
      <c r="BM93" s="153" t="s">
        <v>920</v>
      </c>
      <c r="BN93" s="154">
        <f>SUMIF(BI93:BM93,"&gt;0",BI93:BM93)</f>
        <v>123939</v>
      </c>
      <c r="BO93" s="156"/>
      <c r="BP93" s="148"/>
      <c r="BQ93" s="153"/>
      <c r="BR93" s="153"/>
      <c r="BS93" s="152"/>
      <c r="BT93" s="148"/>
      <c r="BU93" s="148"/>
      <c r="BV93" s="148"/>
      <c r="BW93" s="148"/>
      <c r="BX93" s="154">
        <f>SUM(BS93:BW93)</f>
        <v>0</v>
      </c>
      <c r="BY93" s="143"/>
      <c r="BZ93" s="143"/>
      <c r="CA93" s="143"/>
      <c r="CB93" s="143"/>
      <c r="CC93" s="143"/>
      <c r="CD93" s="155"/>
    </row>
    <row r="94" spans="1:82" ht="14.5">
      <c r="A94" s="143" t="s">
        <v>529</v>
      </c>
      <c r="B94" s="143" t="s">
        <v>1841</v>
      </c>
      <c r="C94" s="144" t="s">
        <v>1030</v>
      </c>
      <c r="D94" s="144" t="s">
        <v>1842</v>
      </c>
      <c r="E94" s="145" t="s">
        <v>818</v>
      </c>
      <c r="F94" s="143" t="str">
        <f>SUBSTITUTE(E94," ","")</f>
        <v>67105423532</v>
      </c>
      <c r="G94" s="143" t="s">
        <v>1843</v>
      </c>
      <c r="H94" s="143" t="s">
        <v>53</v>
      </c>
      <c r="I94" s="143">
        <v>4427</v>
      </c>
      <c r="J94" s="143">
        <v>-26.348265999999999</v>
      </c>
      <c r="K94" s="143">
        <v>149.383329</v>
      </c>
      <c r="L94" s="143" t="s">
        <v>292</v>
      </c>
      <c r="M94" s="143" t="s">
        <v>292</v>
      </c>
      <c r="N94" s="143" t="s">
        <v>292</v>
      </c>
      <c r="O94" s="143"/>
      <c r="P94" s="143"/>
      <c r="Q94" s="143" t="s">
        <v>121</v>
      </c>
      <c r="R94" s="143" t="s">
        <v>58</v>
      </c>
      <c r="S94" s="147"/>
      <c r="T94" s="143"/>
      <c r="U94" s="143"/>
      <c r="V94" s="143"/>
      <c r="W94" s="143"/>
      <c r="X94" s="143"/>
      <c r="Y94" s="143"/>
      <c r="Z94" s="143"/>
      <c r="AA94" s="143"/>
      <c r="AB94" s="143"/>
      <c r="AC94" s="143"/>
      <c r="AD94" s="153"/>
      <c r="AE94" s="153"/>
      <c r="AF94" s="143"/>
      <c r="AG94" s="155"/>
      <c r="AH94" s="147" t="s">
        <v>26</v>
      </c>
      <c r="AI94" s="151" t="s">
        <v>76</v>
      </c>
      <c r="AJ94" s="146"/>
      <c r="AK94" s="146" t="s">
        <v>292</v>
      </c>
      <c r="AL94" s="146" t="s">
        <v>292</v>
      </c>
      <c r="AM94" s="143"/>
      <c r="AN94" s="143"/>
      <c r="AO94" s="143"/>
      <c r="AP94" s="152"/>
      <c r="AQ94" s="153"/>
      <c r="AR94" s="153"/>
      <c r="AS94" s="153"/>
      <c r="AT94" s="153"/>
      <c r="AU94" s="154"/>
      <c r="AV94" s="153" t="s">
        <v>59</v>
      </c>
      <c r="AW94" s="153" t="s">
        <v>59</v>
      </c>
      <c r="AX94" s="153" t="s">
        <v>59</v>
      </c>
      <c r="AY94" s="153" t="s">
        <v>59</v>
      </c>
      <c r="AZ94" s="153" t="s">
        <v>114</v>
      </c>
      <c r="BA94" s="154" t="s">
        <v>114</v>
      </c>
      <c r="BB94" s="152">
        <v>263297</v>
      </c>
      <c r="BC94" s="153">
        <v>263297</v>
      </c>
      <c r="BD94" s="153">
        <v>263297</v>
      </c>
      <c r="BE94" s="157">
        <v>263297</v>
      </c>
      <c r="BF94" s="157" t="s">
        <v>114</v>
      </c>
      <c r="BG94" s="157"/>
      <c r="BH94" s="155"/>
      <c r="BI94" s="152">
        <v>241943</v>
      </c>
      <c r="BJ94" s="153">
        <v>176751</v>
      </c>
      <c r="BK94" s="153">
        <v>161070</v>
      </c>
      <c r="BL94" s="153" t="s">
        <v>921</v>
      </c>
      <c r="BM94" s="153" t="s">
        <v>921</v>
      </c>
      <c r="BN94" s="154">
        <f>SUMIF(BI94:BM94,"&gt;0",BI94:BM94)</f>
        <v>579764</v>
      </c>
      <c r="BO94" s="156"/>
      <c r="BP94" s="148"/>
      <c r="BQ94" s="153"/>
      <c r="BR94" s="153"/>
      <c r="BS94" s="152"/>
      <c r="BT94" s="148"/>
      <c r="BU94" s="148"/>
      <c r="BV94" s="148"/>
      <c r="BW94" s="148"/>
      <c r="BX94" s="154">
        <f>SUM(BS94:BW94)</f>
        <v>0</v>
      </c>
      <c r="BY94" s="143"/>
      <c r="BZ94" s="143"/>
      <c r="CA94" s="143"/>
      <c r="CB94" s="143"/>
      <c r="CC94" s="143"/>
      <c r="CD94" s="155"/>
    </row>
    <row r="95" spans="1:82" ht="14.5">
      <c r="A95" s="143" t="s">
        <v>314</v>
      </c>
      <c r="B95" s="173" t="s">
        <v>2085</v>
      </c>
      <c r="C95" s="144"/>
      <c r="D95" s="144" t="s">
        <v>1097</v>
      </c>
      <c r="E95" s="145" t="s">
        <v>1098</v>
      </c>
      <c r="F95" s="143" t="str">
        <f>SUBSTITUTE(E95," ","")</f>
        <v>93096170295</v>
      </c>
      <c r="G95" s="143" t="s">
        <v>1099</v>
      </c>
      <c r="H95" s="143" t="s">
        <v>74</v>
      </c>
      <c r="I95" s="143">
        <v>3888</v>
      </c>
      <c r="J95" s="143">
        <v>-38.169589000000002</v>
      </c>
      <c r="K95" s="143">
        <v>148.422394</v>
      </c>
      <c r="L95" s="143" t="s">
        <v>292</v>
      </c>
      <c r="M95" s="143" t="s">
        <v>292</v>
      </c>
      <c r="N95" s="143" t="s">
        <v>292</v>
      </c>
      <c r="O95" s="143"/>
      <c r="P95" s="143"/>
      <c r="Q95" s="143" t="s">
        <v>121</v>
      </c>
      <c r="R95" s="143" t="s">
        <v>58</v>
      </c>
      <c r="S95" s="147"/>
      <c r="T95" s="143"/>
      <c r="U95" s="143"/>
      <c r="V95" s="143"/>
      <c r="W95" s="143"/>
      <c r="X95" s="143"/>
      <c r="Y95" s="143"/>
      <c r="Z95" s="143"/>
      <c r="AA95" s="143"/>
      <c r="AB95" s="143"/>
      <c r="AC95" s="143"/>
      <c r="AD95" s="153"/>
      <c r="AE95" s="153"/>
      <c r="AF95" s="143"/>
      <c r="AG95" s="155"/>
      <c r="AH95" s="147" t="s">
        <v>26</v>
      </c>
      <c r="AI95" s="151" t="s">
        <v>76</v>
      </c>
      <c r="AJ95" s="146"/>
      <c r="AK95" s="146" t="s">
        <v>292</v>
      </c>
      <c r="AL95" s="146" t="s">
        <v>292</v>
      </c>
      <c r="AM95" s="143"/>
      <c r="AN95" s="143"/>
      <c r="AO95" s="143"/>
      <c r="AP95" s="152"/>
      <c r="AQ95" s="153"/>
      <c r="AR95" s="153"/>
      <c r="AS95" s="153"/>
      <c r="AT95" s="153"/>
      <c r="AU95" s="154"/>
      <c r="AV95" s="153" t="s">
        <v>106</v>
      </c>
      <c r="AW95" s="153" t="s">
        <v>106</v>
      </c>
      <c r="AX95" s="153" t="s">
        <v>106</v>
      </c>
      <c r="AY95" s="153" t="s">
        <v>106</v>
      </c>
      <c r="AZ95" s="153" t="s">
        <v>106</v>
      </c>
      <c r="BA95" s="154" t="s">
        <v>114</v>
      </c>
      <c r="BB95" s="152">
        <v>130007</v>
      </c>
      <c r="BC95" s="153">
        <v>130007</v>
      </c>
      <c r="BD95" s="153">
        <v>130007</v>
      </c>
      <c r="BE95" s="153">
        <v>130007</v>
      </c>
      <c r="BF95" s="153">
        <v>130007</v>
      </c>
      <c r="BG95" s="157"/>
      <c r="BH95" s="155" t="s">
        <v>1100</v>
      </c>
      <c r="BI95" s="152" t="s">
        <v>920</v>
      </c>
      <c r="BJ95" s="153" t="s">
        <v>920</v>
      </c>
      <c r="BK95" s="153" t="s">
        <v>920</v>
      </c>
      <c r="BL95" s="153" t="s">
        <v>920</v>
      </c>
      <c r="BM95" s="153" t="s">
        <v>920</v>
      </c>
      <c r="BN95" s="154">
        <f>SUMIF(BI95:BM95,"&gt;0",BI95:BM95)</f>
        <v>0</v>
      </c>
      <c r="BO95" s="156"/>
      <c r="BP95" s="148"/>
      <c r="BQ95" s="153"/>
      <c r="BR95" s="153"/>
      <c r="BS95" s="152"/>
      <c r="BT95" s="148"/>
      <c r="BU95" s="148"/>
      <c r="BV95" s="148"/>
      <c r="BW95" s="148"/>
      <c r="BX95" s="154">
        <f>SUM(BS95:BW95)</f>
        <v>0</v>
      </c>
      <c r="BY95" s="143"/>
      <c r="BZ95" s="143"/>
      <c r="CA95" s="143"/>
      <c r="CB95" s="143"/>
      <c r="CC95" s="143"/>
      <c r="CD95" s="155"/>
    </row>
    <row r="96" spans="1:82" ht="14.5">
      <c r="A96" s="143" t="s">
        <v>357</v>
      </c>
      <c r="B96" s="143"/>
      <c r="C96" s="144" t="s">
        <v>657</v>
      </c>
      <c r="D96" s="144" t="s">
        <v>1238</v>
      </c>
      <c r="E96" s="145" t="s">
        <v>656</v>
      </c>
      <c r="F96" s="143" t="str">
        <f>SUBSTITUTE(E96," ","")</f>
        <v>90009362565</v>
      </c>
      <c r="G96" s="143" t="s">
        <v>1132</v>
      </c>
      <c r="H96" s="143" t="s">
        <v>53</v>
      </c>
      <c r="I96" s="143">
        <v>4717</v>
      </c>
      <c r="J96" s="143">
        <v>-23.481781000000002</v>
      </c>
      <c r="K96" s="143">
        <v>148.85589899999999</v>
      </c>
      <c r="L96" s="143" t="s">
        <v>292</v>
      </c>
      <c r="M96" s="143" t="s">
        <v>292</v>
      </c>
      <c r="N96" s="143" t="s">
        <v>292</v>
      </c>
      <c r="O96" s="143"/>
      <c r="P96" s="143"/>
      <c r="Q96" s="143" t="s">
        <v>29</v>
      </c>
      <c r="R96" s="143" t="s">
        <v>29</v>
      </c>
      <c r="S96" s="147"/>
      <c r="T96" s="143"/>
      <c r="U96" s="143"/>
      <c r="V96" s="143"/>
      <c r="W96" s="143"/>
      <c r="X96" s="143"/>
      <c r="Y96" s="143"/>
      <c r="Z96" s="143"/>
      <c r="AA96" s="143"/>
      <c r="AB96" s="143"/>
      <c r="AC96" s="143"/>
      <c r="AD96" s="153"/>
      <c r="AE96" s="153"/>
      <c r="AF96" s="143"/>
      <c r="AG96" s="155"/>
      <c r="AH96" s="147" t="s">
        <v>26</v>
      </c>
      <c r="AI96" s="146" t="s">
        <v>69</v>
      </c>
      <c r="AJ96" s="146" t="s">
        <v>1133</v>
      </c>
      <c r="AK96" s="146" t="s">
        <v>21</v>
      </c>
      <c r="AL96" s="143" t="s">
        <v>43</v>
      </c>
      <c r="AM96" s="143"/>
      <c r="AN96" s="143"/>
      <c r="AO96" s="143"/>
      <c r="AP96" s="152" t="s">
        <v>26</v>
      </c>
      <c r="AQ96" s="153" t="s">
        <v>37</v>
      </c>
      <c r="AR96" s="160" t="str">
        <f>IF(BF96&gt;(BE96*1.1),"yes","no")</f>
        <v>yes</v>
      </c>
      <c r="AS96" s="160" t="str">
        <f>IF(BM96&gt;(BJ96*1.1),"yes","no")</f>
        <v>yes</v>
      </c>
      <c r="AT96" s="160" t="str">
        <f>IF(BM96&gt;(BJ96*1.1),"yes","no")</f>
        <v>yes</v>
      </c>
      <c r="AU96" s="154">
        <v>0</v>
      </c>
      <c r="AV96" s="153" t="s">
        <v>41</v>
      </c>
      <c r="AW96" s="153" t="s">
        <v>41</v>
      </c>
      <c r="AX96" s="153" t="s">
        <v>41</v>
      </c>
      <c r="AY96" s="153" t="s">
        <v>52</v>
      </c>
      <c r="AZ96" s="153" t="s">
        <v>80</v>
      </c>
      <c r="BA96" s="154" t="s">
        <v>80</v>
      </c>
      <c r="BB96" s="152">
        <v>486155</v>
      </c>
      <c r="BC96" s="153">
        <v>486155</v>
      </c>
      <c r="BD96" s="153">
        <v>605372</v>
      </c>
      <c r="BE96" s="157">
        <v>607031</v>
      </c>
      <c r="BF96" s="157">
        <v>1255125</v>
      </c>
      <c r="BG96" s="157"/>
      <c r="BH96" s="155"/>
      <c r="BI96" s="152" t="s">
        <v>389</v>
      </c>
      <c r="BJ96" s="153">
        <v>580716</v>
      </c>
      <c r="BK96" s="153">
        <v>563894</v>
      </c>
      <c r="BL96" s="153">
        <v>614968</v>
      </c>
      <c r="BM96" s="153">
        <v>852964</v>
      </c>
      <c r="BN96" s="154">
        <f>SUMIF(BI96:BM96,"&gt;0",BI96:BM96)</f>
        <v>2612542</v>
      </c>
      <c r="BO96" s="156"/>
      <c r="BP96" s="148"/>
      <c r="BQ96" s="153"/>
      <c r="BR96" s="153"/>
      <c r="BS96" s="152">
        <v>15400000</v>
      </c>
      <c r="BT96" s="148">
        <v>15400000</v>
      </c>
      <c r="BU96" s="148">
        <v>16400000</v>
      </c>
      <c r="BV96" s="148">
        <v>14700000</v>
      </c>
      <c r="BW96" s="148">
        <v>13600000</v>
      </c>
      <c r="BX96" s="154">
        <f>SUM(BS96:BW96)</f>
        <v>75500000</v>
      </c>
      <c r="BY96" s="143" t="e">
        <f>BI96/BS96</f>
        <v>#VALUE!</v>
      </c>
      <c r="BZ96" s="143">
        <f>BJ96/BT96</f>
        <v>3.7708831168831169E-2</v>
      </c>
      <c r="CA96" s="143">
        <f>BK96/BU96</f>
        <v>3.4383780487804876E-2</v>
      </c>
      <c r="CB96" s="143">
        <f>BL96/BV96</f>
        <v>4.1834557823129254E-2</v>
      </c>
      <c r="CC96" s="143">
        <f>BM96/BW96</f>
        <v>6.2717941176470587E-2</v>
      </c>
      <c r="CD96" s="155" t="e">
        <f>AVERAGE(BY96:CC96)</f>
        <v>#VALUE!</v>
      </c>
    </row>
    <row r="97" spans="1:82" ht="14.5">
      <c r="A97" s="143" t="s">
        <v>360</v>
      </c>
      <c r="B97" s="143"/>
      <c r="C97" s="144" t="s">
        <v>660</v>
      </c>
      <c r="D97" s="144" t="s">
        <v>1242</v>
      </c>
      <c r="E97" s="145" t="s">
        <v>1243</v>
      </c>
      <c r="F97" s="143" t="str">
        <f>SUBSTITUTE(E97," ","")</f>
        <v>90000001276</v>
      </c>
      <c r="G97" s="143" t="s">
        <v>360</v>
      </c>
      <c r="H97" s="143" t="s">
        <v>74</v>
      </c>
      <c r="I97" s="143">
        <v>3175</v>
      </c>
      <c r="J97" s="143">
        <v>-38.022162000000002</v>
      </c>
      <c r="K97" s="143">
        <v>145.19208900000001</v>
      </c>
      <c r="L97" s="143" t="s">
        <v>292</v>
      </c>
      <c r="M97" s="143" t="s">
        <v>292</v>
      </c>
      <c r="N97" s="143" t="s">
        <v>292</v>
      </c>
      <c r="O97" s="143"/>
      <c r="P97" s="143"/>
      <c r="Q97" s="143" t="s">
        <v>287</v>
      </c>
      <c r="R97" s="143" t="s">
        <v>85</v>
      </c>
      <c r="S97" s="147"/>
      <c r="T97" s="143"/>
      <c r="U97" s="143"/>
      <c r="V97" s="143"/>
      <c r="W97" s="143"/>
      <c r="X97" s="143"/>
      <c r="Y97" s="143"/>
      <c r="Z97" s="143"/>
      <c r="AA97" s="143"/>
      <c r="AB97" s="143"/>
      <c r="AC97" s="143"/>
      <c r="AD97" s="153"/>
      <c r="AE97" s="153"/>
      <c r="AF97" s="143"/>
      <c r="AG97" s="155"/>
      <c r="AH97" s="150" t="s">
        <v>37</v>
      </c>
      <c r="AI97" s="151" t="s">
        <v>76</v>
      </c>
      <c r="AJ97" s="151" t="s">
        <v>70</v>
      </c>
      <c r="AK97" s="151" t="s">
        <v>70</v>
      </c>
      <c r="AL97" s="151" t="s">
        <v>118</v>
      </c>
      <c r="AM97" s="151" t="s">
        <v>70</v>
      </c>
      <c r="AN97" s="151" t="s">
        <v>70</v>
      </c>
      <c r="AO97" s="151" t="s">
        <v>70</v>
      </c>
      <c r="AP97" s="152"/>
      <c r="AQ97" s="153"/>
      <c r="AR97" s="153"/>
      <c r="AS97" s="153"/>
      <c r="AT97" s="153"/>
      <c r="AU97" s="154"/>
      <c r="AV97" s="153" t="s">
        <v>41</v>
      </c>
      <c r="AW97" s="153" t="s">
        <v>41</v>
      </c>
      <c r="AX97" s="153" t="s">
        <v>41</v>
      </c>
      <c r="AY97" s="153" t="s">
        <v>41</v>
      </c>
      <c r="AZ97" s="153" t="s">
        <v>98</v>
      </c>
      <c r="BA97" s="154" t="s">
        <v>98</v>
      </c>
      <c r="BB97" s="152">
        <v>128005</v>
      </c>
      <c r="BC97" s="153">
        <v>128005</v>
      </c>
      <c r="BD97" s="153">
        <v>128005</v>
      </c>
      <c r="BE97" s="157">
        <v>128005</v>
      </c>
      <c r="BF97" s="157">
        <v>123348</v>
      </c>
      <c r="BG97" s="157"/>
      <c r="BH97" s="155"/>
      <c r="BI97" s="152" t="s">
        <v>920</v>
      </c>
      <c r="BJ97" s="153" t="s">
        <v>920</v>
      </c>
      <c r="BK97" s="153">
        <v>113404</v>
      </c>
      <c r="BL97" s="153">
        <v>110628</v>
      </c>
      <c r="BM97" s="153">
        <v>111372</v>
      </c>
      <c r="BN97" s="154">
        <f>SUMIF(BI97:BM97,"&gt;0",BI97:BM97)</f>
        <v>335404</v>
      </c>
      <c r="BO97" s="156"/>
      <c r="BP97" s="148"/>
      <c r="BQ97" s="153"/>
      <c r="BR97" s="153"/>
      <c r="BS97" s="152"/>
      <c r="BT97" s="148"/>
      <c r="BU97" s="148"/>
      <c r="BV97" s="148"/>
      <c r="BW97" s="148"/>
      <c r="BX97" s="154">
        <f>SUM(BS97:BW97)</f>
        <v>0</v>
      </c>
      <c r="BY97" s="143"/>
      <c r="BZ97" s="143"/>
      <c r="CA97" s="143"/>
      <c r="CB97" s="143"/>
      <c r="CC97" s="143"/>
      <c r="CD97" s="155"/>
    </row>
    <row r="98" spans="1:82" ht="14.5">
      <c r="A98" s="143" t="s">
        <v>576</v>
      </c>
      <c r="B98" s="143" t="s">
        <v>1017</v>
      </c>
      <c r="C98" s="144" t="s">
        <v>833</v>
      </c>
      <c r="D98" s="144" t="s">
        <v>1989</v>
      </c>
      <c r="E98" s="145" t="s">
        <v>834</v>
      </c>
      <c r="F98" s="143" t="str">
        <f>SUBSTITUTE(E98," ","")</f>
        <v>24080378614</v>
      </c>
      <c r="G98" s="143" t="s">
        <v>292</v>
      </c>
      <c r="H98" s="143" t="s">
        <v>74</v>
      </c>
      <c r="I98" s="143" t="s">
        <v>292</v>
      </c>
      <c r="J98" s="143" t="s">
        <v>292</v>
      </c>
      <c r="K98" s="143" t="s">
        <v>292</v>
      </c>
      <c r="L98" s="173" t="s">
        <v>292</v>
      </c>
      <c r="M98" s="173" t="s">
        <v>292</v>
      </c>
      <c r="N98" s="173" t="s">
        <v>292</v>
      </c>
      <c r="O98" s="143"/>
      <c r="P98" s="143"/>
      <c r="Q98" s="143" t="s">
        <v>163</v>
      </c>
      <c r="R98" s="143" t="s">
        <v>72</v>
      </c>
      <c r="S98" s="147"/>
      <c r="T98" s="143"/>
      <c r="U98" s="143"/>
      <c r="V98" s="143"/>
      <c r="W98" s="143"/>
      <c r="X98" s="143"/>
      <c r="Y98" s="143"/>
      <c r="Z98" s="143"/>
      <c r="AA98" s="143"/>
      <c r="AB98" s="143"/>
      <c r="AC98" s="143"/>
      <c r="AD98" s="153"/>
      <c r="AE98" s="153"/>
      <c r="AF98" s="143"/>
      <c r="AG98" s="155"/>
      <c r="AH98" s="150" t="s">
        <v>37</v>
      </c>
      <c r="AI98" s="151" t="s">
        <v>76</v>
      </c>
      <c r="AJ98" s="151" t="s">
        <v>70</v>
      </c>
      <c r="AK98" s="151" t="s">
        <v>70</v>
      </c>
      <c r="AL98" s="151" t="s">
        <v>118</v>
      </c>
      <c r="AM98" s="151" t="s">
        <v>70</v>
      </c>
      <c r="AN98" s="151" t="s">
        <v>70</v>
      </c>
      <c r="AO98" s="151" t="s">
        <v>70</v>
      </c>
      <c r="AP98" s="152" t="s">
        <v>26</v>
      </c>
      <c r="AQ98" s="153" t="s">
        <v>37</v>
      </c>
      <c r="AR98" s="160" t="str">
        <f>IF(BF98&gt;(BE98*1.1),"yes","no")</f>
        <v>no</v>
      </c>
      <c r="AS98" s="160" t="str">
        <f>IF(BM98&gt;(BL98*1.1),"yes","no")</f>
        <v>no</v>
      </c>
      <c r="AT98" s="160" t="str">
        <f>IF(BM98&gt;(BL98*1.1),"yes","no")</f>
        <v>no</v>
      </c>
      <c r="AU98" s="154">
        <v>0</v>
      </c>
      <c r="AV98" s="153" t="s">
        <v>114</v>
      </c>
      <c r="AW98" s="153" t="s">
        <v>114</v>
      </c>
      <c r="AX98" s="153" t="s">
        <v>114</v>
      </c>
      <c r="AY98" s="153" t="s">
        <v>1095</v>
      </c>
      <c r="AZ98" s="153" t="s">
        <v>1095</v>
      </c>
      <c r="BA98" s="154" t="s">
        <v>1095</v>
      </c>
      <c r="BB98" s="152" t="s">
        <v>114</v>
      </c>
      <c r="BC98" s="153" t="s">
        <v>114</v>
      </c>
      <c r="BD98" s="153" t="s">
        <v>114</v>
      </c>
      <c r="BE98" s="157">
        <v>100549</v>
      </c>
      <c r="BF98" s="157">
        <v>100000</v>
      </c>
      <c r="BG98" s="157"/>
      <c r="BH98" s="155"/>
      <c r="BI98" s="152" t="s">
        <v>920</v>
      </c>
      <c r="BJ98" s="153" t="s">
        <v>920</v>
      </c>
      <c r="BK98" s="153" t="s">
        <v>920</v>
      </c>
      <c r="BL98" s="153">
        <v>114936</v>
      </c>
      <c r="BM98" s="153">
        <v>47125</v>
      </c>
      <c r="BN98" s="154">
        <f>SUMIF(BI98:BM98,"&gt;0",BI98:BM98)</f>
        <v>162061</v>
      </c>
      <c r="BO98" s="156"/>
      <c r="BP98" s="148"/>
      <c r="BQ98" s="153"/>
      <c r="BR98" s="153"/>
      <c r="BS98" s="152"/>
      <c r="BT98" s="148"/>
      <c r="BU98" s="148"/>
      <c r="BV98" s="148"/>
      <c r="BW98" s="148"/>
      <c r="BX98" s="154">
        <f>SUM(BS98:BW98)</f>
        <v>0</v>
      </c>
      <c r="BY98" s="143"/>
      <c r="BZ98" s="143"/>
      <c r="CA98" s="143"/>
      <c r="CB98" s="143"/>
      <c r="CC98" s="143"/>
      <c r="CD98" s="155"/>
    </row>
    <row r="99" spans="1:82" ht="14.5">
      <c r="A99" s="143" t="s">
        <v>344</v>
      </c>
      <c r="B99" s="143"/>
      <c r="C99" s="144"/>
      <c r="D99" s="144" t="s">
        <v>1201</v>
      </c>
      <c r="E99" s="145" t="s">
        <v>1202</v>
      </c>
      <c r="F99" s="143" t="str">
        <f>SUBSTITUTE(E99," ","")</f>
        <v>46094084787</v>
      </c>
      <c r="G99" s="143" t="s">
        <v>1203</v>
      </c>
      <c r="H99" s="143" t="s">
        <v>31</v>
      </c>
      <c r="I99" s="143">
        <v>2259</v>
      </c>
      <c r="J99" s="143">
        <v>-33.1631</v>
      </c>
      <c r="K99" s="143">
        <v>151.54920000000001</v>
      </c>
      <c r="L99" s="143" t="s">
        <v>292</v>
      </c>
      <c r="M99" s="143" t="s">
        <v>292</v>
      </c>
      <c r="N99" s="143" t="s">
        <v>292</v>
      </c>
      <c r="O99" s="143"/>
      <c r="P99" s="143"/>
      <c r="Q99" s="143" t="s">
        <v>29</v>
      </c>
      <c r="R99" s="143" t="s">
        <v>29</v>
      </c>
      <c r="S99" s="147"/>
      <c r="T99" s="143"/>
      <c r="U99" s="143"/>
      <c r="V99" s="143"/>
      <c r="W99" s="143"/>
      <c r="X99" s="143"/>
      <c r="Y99" s="143"/>
      <c r="Z99" s="143"/>
      <c r="AA99" s="143"/>
      <c r="AB99" s="143"/>
      <c r="AC99" s="143"/>
      <c r="AD99" s="153"/>
      <c r="AE99" s="153"/>
      <c r="AF99" s="143"/>
      <c r="AG99" s="155"/>
      <c r="AH99" s="147" t="s">
        <v>26</v>
      </c>
      <c r="AI99" s="146" t="s">
        <v>36</v>
      </c>
      <c r="AJ99" s="143" t="s">
        <v>1111</v>
      </c>
      <c r="AK99" s="146" t="s">
        <v>33</v>
      </c>
      <c r="AL99" s="143" t="s">
        <v>134</v>
      </c>
      <c r="AM99" s="143" t="s">
        <v>77</v>
      </c>
      <c r="AN99" s="143">
        <v>2</v>
      </c>
      <c r="AO99" s="143"/>
      <c r="AP99" s="152"/>
      <c r="AQ99" s="153"/>
      <c r="AR99" s="153"/>
      <c r="AS99" s="153"/>
      <c r="AT99" s="153"/>
      <c r="AU99" s="154"/>
      <c r="AV99" s="153" t="s">
        <v>41</v>
      </c>
      <c r="AW99" s="153" t="s">
        <v>41</v>
      </c>
      <c r="AX99" s="153" t="s">
        <v>41</v>
      </c>
      <c r="AY99" s="153" t="s">
        <v>41</v>
      </c>
      <c r="AZ99" s="153" t="s">
        <v>114</v>
      </c>
      <c r="BA99" s="154" t="s">
        <v>114</v>
      </c>
      <c r="BB99" s="152">
        <v>691140</v>
      </c>
      <c r="BC99" s="153">
        <v>691140</v>
      </c>
      <c r="BD99" s="153">
        <v>691140</v>
      </c>
      <c r="BE99" s="157">
        <v>691140</v>
      </c>
      <c r="BF99" s="157" t="s">
        <v>114</v>
      </c>
      <c r="BG99" s="157"/>
      <c r="BH99" s="155"/>
      <c r="BI99" s="152">
        <v>410682</v>
      </c>
      <c r="BJ99" s="153">
        <v>350424</v>
      </c>
      <c r="BK99" s="153" t="s">
        <v>920</v>
      </c>
      <c r="BL99" s="153">
        <v>503212</v>
      </c>
      <c r="BM99" s="153">
        <v>467650</v>
      </c>
      <c r="BN99" s="154">
        <f>SUMIF(BI99:BM99,"&gt;0",BI99:BM99)</f>
        <v>1731968</v>
      </c>
      <c r="BO99" s="156">
        <v>724000</v>
      </c>
      <c r="BP99" s="148">
        <v>724000</v>
      </c>
      <c r="BQ99" s="153">
        <v>724000</v>
      </c>
      <c r="BR99" s="153">
        <v>724000</v>
      </c>
      <c r="BS99" s="152">
        <v>1361205</v>
      </c>
      <c r="BT99" s="148">
        <v>398336</v>
      </c>
      <c r="BU99" s="148">
        <v>792950</v>
      </c>
      <c r="BV99" s="148">
        <v>1380000</v>
      </c>
      <c r="BW99" s="148">
        <v>1246671</v>
      </c>
      <c r="BX99" s="154">
        <f>SUM(BS99:BW99)</f>
        <v>5179162</v>
      </c>
      <c r="BY99" s="143">
        <f>BI99/BS99</f>
        <v>0.30170473955061877</v>
      </c>
      <c r="BZ99" s="143">
        <f>BJ99/BT99</f>
        <v>0.87971963367609252</v>
      </c>
      <c r="CA99" s="143" t="e">
        <f>BK99/BU99</f>
        <v>#VALUE!</v>
      </c>
      <c r="CB99" s="143">
        <f>BL99/BV99</f>
        <v>0.36464637681159423</v>
      </c>
      <c r="CC99" s="143">
        <f>BM99/BW99</f>
        <v>0.37511901696598382</v>
      </c>
      <c r="CD99" s="155" t="e">
        <f>AVERAGE(BY99:CC99)</f>
        <v>#VALUE!</v>
      </c>
    </row>
    <row r="100" spans="1:82" ht="14.5">
      <c r="A100" s="143" t="s">
        <v>438</v>
      </c>
      <c r="B100" s="143"/>
      <c r="C100" s="144"/>
      <c r="D100" s="144" t="s">
        <v>1201</v>
      </c>
      <c r="E100" s="145" t="s">
        <v>1202</v>
      </c>
      <c r="F100" s="143" t="str">
        <f>SUBSTITUTE(E100," ","")</f>
        <v>46094084787</v>
      </c>
      <c r="G100" s="143" t="s">
        <v>1203</v>
      </c>
      <c r="H100" s="143" t="s">
        <v>31</v>
      </c>
      <c r="I100" s="143">
        <v>2259</v>
      </c>
      <c r="J100" s="143">
        <v>-33.177633999999998</v>
      </c>
      <c r="K100" s="143">
        <v>151.540154</v>
      </c>
      <c r="L100" s="143" t="s">
        <v>292</v>
      </c>
      <c r="M100" s="143" t="s">
        <v>292</v>
      </c>
      <c r="N100" s="143" t="s">
        <v>292</v>
      </c>
      <c r="O100" s="143"/>
      <c r="P100" s="143"/>
      <c r="Q100" s="143" t="s">
        <v>29</v>
      </c>
      <c r="R100" s="143" t="s">
        <v>29</v>
      </c>
      <c r="S100" s="147"/>
      <c r="T100" s="143"/>
      <c r="U100" s="143"/>
      <c r="V100" s="143"/>
      <c r="W100" s="143"/>
      <c r="X100" s="143"/>
      <c r="Y100" s="143"/>
      <c r="Z100" s="143"/>
      <c r="AA100" s="143"/>
      <c r="AB100" s="143"/>
      <c r="AC100" s="143"/>
      <c r="AD100" s="153"/>
      <c r="AE100" s="153"/>
      <c r="AF100" s="143"/>
      <c r="AG100" s="155"/>
      <c r="AH100" s="147" t="s">
        <v>26</v>
      </c>
      <c r="AI100" s="146" t="s">
        <v>36</v>
      </c>
      <c r="AJ100" s="146" t="s">
        <v>1111</v>
      </c>
      <c r="AK100" s="146" t="s">
        <v>33</v>
      </c>
      <c r="AL100" s="143" t="s">
        <v>134</v>
      </c>
      <c r="AM100" s="143"/>
      <c r="AN100" s="143"/>
      <c r="AO100" s="143"/>
      <c r="AP100" s="152"/>
      <c r="AQ100" s="153"/>
      <c r="AR100" s="153"/>
      <c r="AS100" s="153"/>
      <c r="AT100" s="153"/>
      <c r="AU100" s="154"/>
      <c r="AV100" s="153" t="s">
        <v>106</v>
      </c>
      <c r="AW100" s="153" t="s">
        <v>106</v>
      </c>
      <c r="AX100" s="153" t="s">
        <v>106</v>
      </c>
      <c r="AY100" s="153" t="s">
        <v>106</v>
      </c>
      <c r="AZ100" s="153" t="s">
        <v>106</v>
      </c>
      <c r="BA100" s="154" t="s">
        <v>114</v>
      </c>
      <c r="BB100" s="152">
        <v>210243</v>
      </c>
      <c r="BC100" s="153">
        <v>210243</v>
      </c>
      <c r="BD100" s="153">
        <v>210243</v>
      </c>
      <c r="BE100" s="153">
        <v>210243</v>
      </c>
      <c r="BF100" s="153">
        <v>210243</v>
      </c>
      <c r="BG100" s="157"/>
      <c r="BH100" s="155"/>
      <c r="BI100" s="152">
        <v>128138</v>
      </c>
      <c r="BJ100" s="153" t="s">
        <v>920</v>
      </c>
      <c r="BK100" s="153" t="s">
        <v>920</v>
      </c>
      <c r="BL100" s="153" t="s">
        <v>920</v>
      </c>
      <c r="BM100" s="153" t="s">
        <v>920</v>
      </c>
      <c r="BN100" s="154">
        <f>SUMIF(BI100:BM100,"&gt;0",BI100:BM100)</f>
        <v>128138</v>
      </c>
      <c r="BO100" s="156">
        <v>584000</v>
      </c>
      <c r="BP100" s="148">
        <v>584000</v>
      </c>
      <c r="BQ100" s="153">
        <v>584000</v>
      </c>
      <c r="BR100" s="153">
        <v>584000</v>
      </c>
      <c r="BS100" s="152">
        <v>3699</v>
      </c>
      <c r="BT100" s="148">
        <v>0</v>
      </c>
      <c r="BU100" s="148">
        <v>0</v>
      </c>
      <c r="BV100" s="148">
        <v>0</v>
      </c>
      <c r="BW100" s="148">
        <v>0</v>
      </c>
      <c r="BX100" s="154">
        <f>SUM(BS100:BW100)</f>
        <v>3699</v>
      </c>
      <c r="BY100" s="143">
        <f>BI100/BS100</f>
        <v>34.641254393079208</v>
      </c>
      <c r="BZ100" s="143" t="e">
        <f>BJ100/BT100</f>
        <v>#VALUE!</v>
      </c>
      <c r="CA100" s="143" t="e">
        <f>BK100/BU100</f>
        <v>#VALUE!</v>
      </c>
      <c r="CB100" s="143" t="e">
        <f>BL100/BV100</f>
        <v>#VALUE!</v>
      </c>
      <c r="CC100" s="143" t="e">
        <f>BM100/BW100</f>
        <v>#VALUE!</v>
      </c>
      <c r="CD100" s="155" t="e">
        <f>AVERAGE(BY100:CC100)</f>
        <v>#VALUE!</v>
      </c>
    </row>
    <row r="101" spans="1:82" ht="14.5">
      <c r="A101" s="143" t="s">
        <v>551</v>
      </c>
      <c r="B101" s="143"/>
      <c r="C101" s="144"/>
      <c r="D101" s="144" t="s">
        <v>1909</v>
      </c>
      <c r="E101" s="145" t="s">
        <v>1910</v>
      </c>
      <c r="F101" s="143" t="str">
        <f>SUBSTITUTE(E101," ","")</f>
        <v>86625883561</v>
      </c>
      <c r="G101" s="143" t="s">
        <v>1911</v>
      </c>
      <c r="H101" s="143" t="s">
        <v>53</v>
      </c>
      <c r="I101" s="143">
        <v>4454</v>
      </c>
      <c r="J101" s="143">
        <v>-25.448587</v>
      </c>
      <c r="K101" s="143">
        <v>148.40007499999999</v>
      </c>
      <c r="L101" s="143" t="s">
        <v>292</v>
      </c>
      <c r="M101" s="143" t="s">
        <v>292</v>
      </c>
      <c r="N101" s="143" t="s">
        <v>292</v>
      </c>
      <c r="O101" s="143"/>
      <c r="P101" s="143"/>
      <c r="Q101" s="143" t="s">
        <v>121</v>
      </c>
      <c r="R101" s="143" t="s">
        <v>58</v>
      </c>
      <c r="S101" s="147"/>
      <c r="T101" s="143"/>
      <c r="U101" s="143"/>
      <c r="V101" s="143"/>
      <c r="W101" s="143"/>
      <c r="X101" s="143"/>
      <c r="Y101" s="143"/>
      <c r="Z101" s="143"/>
      <c r="AA101" s="143"/>
      <c r="AB101" s="143"/>
      <c r="AC101" s="143"/>
      <c r="AD101" s="153"/>
      <c r="AE101" s="153"/>
      <c r="AF101" s="143"/>
      <c r="AG101" s="155"/>
      <c r="AH101" s="147" t="s">
        <v>26</v>
      </c>
      <c r="AI101" s="151" t="s">
        <v>76</v>
      </c>
      <c r="AJ101" s="146"/>
      <c r="AK101" s="146" t="s">
        <v>292</v>
      </c>
      <c r="AL101" s="146" t="s">
        <v>292</v>
      </c>
      <c r="AM101" s="143"/>
      <c r="AN101" s="143"/>
      <c r="AO101" s="143"/>
      <c r="AP101" s="152"/>
      <c r="AQ101" s="153"/>
      <c r="AR101" s="153"/>
      <c r="AS101" s="153"/>
      <c r="AT101" s="153"/>
      <c r="AU101" s="154"/>
      <c r="AV101" s="153" t="s">
        <v>106</v>
      </c>
      <c r="AW101" s="153" t="s">
        <v>106</v>
      </c>
      <c r="AX101" s="153" t="s">
        <v>106</v>
      </c>
      <c r="AY101" s="153" t="s">
        <v>106</v>
      </c>
      <c r="AZ101" s="153" t="s">
        <v>106</v>
      </c>
      <c r="BA101" s="154" t="s">
        <v>114</v>
      </c>
      <c r="BB101" s="152">
        <v>146128</v>
      </c>
      <c r="BC101" s="153">
        <v>146128</v>
      </c>
      <c r="BD101" s="153">
        <v>146128</v>
      </c>
      <c r="BE101" s="153">
        <v>146128</v>
      </c>
      <c r="BF101" s="153">
        <v>146128</v>
      </c>
      <c r="BG101" s="157"/>
      <c r="BH101" s="155"/>
      <c r="BI101" s="152" t="s">
        <v>920</v>
      </c>
      <c r="BJ101" s="153" t="s">
        <v>920</v>
      </c>
      <c r="BK101" s="153" t="s">
        <v>920</v>
      </c>
      <c r="BL101" s="153" t="s">
        <v>920</v>
      </c>
      <c r="BM101" s="153" t="s">
        <v>920</v>
      </c>
      <c r="BN101" s="154">
        <f>SUMIF(BI101:BM101,"&gt;0",BI101:BM101)</f>
        <v>0</v>
      </c>
      <c r="BO101" s="156"/>
      <c r="BP101" s="148"/>
      <c r="BQ101" s="153"/>
      <c r="BR101" s="153"/>
      <c r="BS101" s="152"/>
      <c r="BT101" s="148"/>
      <c r="BU101" s="148"/>
      <c r="BV101" s="148"/>
      <c r="BW101" s="148"/>
      <c r="BX101" s="154">
        <f>SUM(BS101:BW101)</f>
        <v>0</v>
      </c>
      <c r="BY101" s="143"/>
      <c r="BZ101" s="143"/>
      <c r="CA101" s="143"/>
      <c r="CB101" s="143"/>
      <c r="CC101" s="143"/>
      <c r="CD101" s="143"/>
    </row>
    <row r="102" spans="1:82" ht="14.5">
      <c r="A102" s="143" t="s">
        <v>457</v>
      </c>
      <c r="B102" s="143"/>
      <c r="C102" s="144" t="s">
        <v>1582</v>
      </c>
      <c r="D102" s="144" t="s">
        <v>1583</v>
      </c>
      <c r="E102" s="145" t="s">
        <v>1584</v>
      </c>
      <c r="F102" s="143" t="str">
        <f>SUBSTITUTE(E102," ","")</f>
        <v>34608495441</v>
      </c>
      <c r="G102" s="143" t="s">
        <v>1118</v>
      </c>
      <c r="H102" s="143" t="s">
        <v>31</v>
      </c>
      <c r="I102" s="143">
        <v>2333</v>
      </c>
      <c r="J102" s="143">
        <v>-32.25591661</v>
      </c>
      <c r="K102" s="143">
        <v>150.84998469999999</v>
      </c>
      <c r="L102" s="143">
        <v>2017</v>
      </c>
      <c r="M102" s="143">
        <v>5</v>
      </c>
      <c r="N102" s="143">
        <v>2026</v>
      </c>
      <c r="O102" s="143"/>
      <c r="P102" s="143"/>
      <c r="Q102" s="143" t="s">
        <v>29</v>
      </c>
      <c r="R102" s="143" t="s">
        <v>29</v>
      </c>
      <c r="S102" s="147"/>
      <c r="T102" s="143"/>
      <c r="U102" s="143"/>
      <c r="V102" s="143"/>
      <c r="W102" s="143"/>
      <c r="X102" s="143"/>
      <c r="Y102" s="143"/>
      <c r="Z102" s="143"/>
      <c r="AA102" s="143"/>
      <c r="AB102" s="143"/>
      <c r="AC102" s="143"/>
      <c r="AD102" s="153"/>
      <c r="AE102" s="153"/>
      <c r="AF102" s="143"/>
      <c r="AG102" s="155"/>
      <c r="AH102" s="147" t="s">
        <v>26</v>
      </c>
      <c r="AI102" s="146" t="s">
        <v>36</v>
      </c>
      <c r="AJ102" s="146" t="s">
        <v>1585</v>
      </c>
      <c r="AK102" s="146" t="s">
        <v>21</v>
      </c>
      <c r="AL102" s="143" t="s">
        <v>134</v>
      </c>
      <c r="AM102" s="143" t="s">
        <v>38</v>
      </c>
      <c r="AN102" s="143">
        <v>7.5</v>
      </c>
      <c r="AO102" s="143"/>
      <c r="AP102" s="152" t="s">
        <v>26</v>
      </c>
      <c r="AQ102" s="153" t="s">
        <v>26</v>
      </c>
      <c r="AR102" s="160" t="str">
        <f>IF(BF102&gt;(BD102*1.1),"yes","no")</f>
        <v>yes</v>
      </c>
      <c r="AS102" s="160" t="str">
        <f>IF(BM102&gt;(BK102*1.1),"yes","no")</f>
        <v>yes</v>
      </c>
      <c r="AT102" s="160" t="str">
        <f>IF(BM102&gt;(BK102*1.1),"yes","no")</f>
        <v>yes</v>
      </c>
      <c r="AU102" s="154">
        <v>0</v>
      </c>
      <c r="AV102" s="153" t="s">
        <v>114</v>
      </c>
      <c r="AW102" s="153" t="s">
        <v>114</v>
      </c>
      <c r="AX102" s="153" t="s">
        <v>80</v>
      </c>
      <c r="AY102" s="153" t="s">
        <v>80</v>
      </c>
      <c r="AZ102" s="153" t="s">
        <v>80</v>
      </c>
      <c r="BA102" s="154" t="s">
        <v>114</v>
      </c>
      <c r="BB102" s="152" t="s">
        <v>114</v>
      </c>
      <c r="BC102" s="153" t="s">
        <v>114</v>
      </c>
      <c r="BD102" s="153">
        <v>663971</v>
      </c>
      <c r="BE102" s="157">
        <v>665790</v>
      </c>
      <c r="BF102" s="157">
        <v>732330</v>
      </c>
      <c r="BG102" s="157"/>
      <c r="BH102" s="155"/>
      <c r="BI102" s="152" t="s">
        <v>70</v>
      </c>
      <c r="BJ102" s="153" t="s">
        <v>70</v>
      </c>
      <c r="BK102" s="153">
        <v>185921</v>
      </c>
      <c r="BL102" s="153">
        <v>448683</v>
      </c>
      <c r="BM102" s="153">
        <v>675893</v>
      </c>
      <c r="BN102" s="154">
        <f>SUMIF(BI102:BM102,"&gt;0",BI102:BM102)</f>
        <v>1310497</v>
      </c>
      <c r="BO102" s="156">
        <v>168540</v>
      </c>
      <c r="BP102" s="148">
        <v>168540</v>
      </c>
      <c r="BQ102" s="153">
        <v>168540</v>
      </c>
      <c r="BR102" s="153">
        <v>168540</v>
      </c>
      <c r="BS102" s="156" t="s">
        <v>1096</v>
      </c>
      <c r="BT102" s="148">
        <v>150000</v>
      </c>
      <c r="BU102" s="148">
        <v>5970000</v>
      </c>
      <c r="BV102" s="148">
        <v>8540000</v>
      </c>
      <c r="BW102" s="148">
        <v>10070000</v>
      </c>
      <c r="BX102" s="154">
        <f>SUM(BS102:BW102)</f>
        <v>24730000</v>
      </c>
      <c r="BY102" s="143" t="e">
        <f>BI102/BS102</f>
        <v>#VALUE!</v>
      </c>
      <c r="BZ102" s="143" t="e">
        <f>BJ102/BT102</f>
        <v>#VALUE!</v>
      </c>
      <c r="CA102" s="143">
        <f>BK102/BU102</f>
        <v>3.1142546063651591E-2</v>
      </c>
      <c r="CB102" s="143">
        <f>BL102/BV102</f>
        <v>5.2538992974238877E-2</v>
      </c>
      <c r="CC102" s="143">
        <f>BM102/BW102</f>
        <v>6.7119463753723935E-2</v>
      </c>
      <c r="CD102" s="143" t="e">
        <f>AVERAGE(BY102:CC102)</f>
        <v>#VALUE!</v>
      </c>
    </row>
    <row r="103" spans="1:82" ht="14.5">
      <c r="A103" s="143" t="s">
        <v>528</v>
      </c>
      <c r="B103" s="143"/>
      <c r="C103" s="144"/>
      <c r="D103" s="144" t="s">
        <v>1831</v>
      </c>
      <c r="E103" s="145" t="s">
        <v>1832</v>
      </c>
      <c r="F103" s="143" t="str">
        <f>SUBSTITUTE(E103," ","")</f>
        <v>89631866056</v>
      </c>
      <c r="G103" s="143" t="s">
        <v>1833</v>
      </c>
      <c r="H103" s="143" t="s">
        <v>81</v>
      </c>
      <c r="I103" s="143">
        <v>6056</v>
      </c>
      <c r="J103" s="143">
        <v>-31.833333</v>
      </c>
      <c r="K103" s="143">
        <v>116.103056</v>
      </c>
      <c r="L103" s="143" t="s">
        <v>292</v>
      </c>
      <c r="M103" s="143" t="s">
        <v>292</v>
      </c>
      <c r="N103" s="143" t="s">
        <v>292</v>
      </c>
      <c r="O103" s="143"/>
      <c r="P103" s="143"/>
      <c r="Q103" s="143" t="s">
        <v>287</v>
      </c>
      <c r="R103" s="143" t="s">
        <v>85</v>
      </c>
      <c r="S103" s="147" t="s">
        <v>612</v>
      </c>
      <c r="T103" s="143">
        <v>1</v>
      </c>
      <c r="U103" s="143" t="s">
        <v>1834</v>
      </c>
      <c r="V103" s="143" t="s">
        <v>1835</v>
      </c>
      <c r="W103" s="143" t="s">
        <v>1836</v>
      </c>
      <c r="X103" s="143" t="s">
        <v>85</v>
      </c>
      <c r="Y103" s="143" t="s">
        <v>1837</v>
      </c>
      <c r="Z103" s="143" t="s">
        <v>1838</v>
      </c>
      <c r="AA103" s="143" t="s">
        <v>1839</v>
      </c>
      <c r="AB103" s="153">
        <v>0</v>
      </c>
      <c r="AC103" s="153" t="s">
        <v>1044</v>
      </c>
      <c r="AD103" s="153"/>
      <c r="AE103" s="153"/>
      <c r="AF103" s="143" t="s">
        <v>1045</v>
      </c>
      <c r="AG103" s="155" t="s">
        <v>1840</v>
      </c>
      <c r="AH103" s="150" t="s">
        <v>37</v>
      </c>
      <c r="AI103" s="151" t="s">
        <v>76</v>
      </c>
      <c r="AJ103" s="151" t="s">
        <v>70</v>
      </c>
      <c r="AK103" s="151" t="s">
        <v>70</v>
      </c>
      <c r="AL103" s="151" t="s">
        <v>118</v>
      </c>
      <c r="AM103" s="151" t="s">
        <v>70</v>
      </c>
      <c r="AN103" s="151" t="s">
        <v>70</v>
      </c>
      <c r="AO103" s="151" t="s">
        <v>70</v>
      </c>
      <c r="AP103" s="152"/>
      <c r="AQ103" s="153"/>
      <c r="AR103" s="153"/>
      <c r="AS103" s="153"/>
      <c r="AT103" s="153"/>
      <c r="AU103" s="154"/>
      <c r="AV103" s="153" t="s">
        <v>106</v>
      </c>
      <c r="AW103" s="153" t="s">
        <v>106</v>
      </c>
      <c r="AX103" s="153" t="s">
        <v>106</v>
      </c>
      <c r="AY103" s="153" t="s">
        <v>106</v>
      </c>
      <c r="AZ103" s="153" t="s">
        <v>106</v>
      </c>
      <c r="BA103" s="154" t="s">
        <v>114</v>
      </c>
      <c r="BB103" s="152">
        <v>116767</v>
      </c>
      <c r="BC103" s="153">
        <v>116767</v>
      </c>
      <c r="BD103" s="153">
        <v>116767</v>
      </c>
      <c r="BE103" s="153">
        <v>116767</v>
      </c>
      <c r="BF103" s="153">
        <v>116767</v>
      </c>
      <c r="BG103" s="157"/>
      <c r="BH103" s="155"/>
      <c r="BI103" s="152" t="s">
        <v>920</v>
      </c>
      <c r="BJ103" s="153" t="s">
        <v>920</v>
      </c>
      <c r="BK103" s="153" t="s">
        <v>920</v>
      </c>
      <c r="BL103" s="153" t="s">
        <v>920</v>
      </c>
      <c r="BM103" s="153" t="s">
        <v>920</v>
      </c>
      <c r="BN103" s="154">
        <f>SUMIF(BI103:BM103,"&gt;0",BI103:BM103)</f>
        <v>0</v>
      </c>
      <c r="BO103" s="156"/>
      <c r="BP103" s="148"/>
      <c r="BQ103" s="153"/>
      <c r="BR103" s="153"/>
      <c r="BS103" s="152"/>
      <c r="BT103" s="148"/>
      <c r="BU103" s="148"/>
      <c r="BV103" s="148"/>
      <c r="BW103" s="148"/>
      <c r="BX103" s="154">
        <f>SUM(BS103:BW103)</f>
        <v>0</v>
      </c>
      <c r="BY103" s="143"/>
      <c r="BZ103" s="143"/>
      <c r="CA103" s="143"/>
      <c r="CB103" s="143"/>
      <c r="CC103" s="143"/>
      <c r="CD103" s="143"/>
    </row>
    <row r="104" spans="1:82" ht="14.5">
      <c r="A104" s="143" t="s">
        <v>421</v>
      </c>
      <c r="B104" s="143" t="s">
        <v>1456</v>
      </c>
      <c r="C104" s="144" t="s">
        <v>712</v>
      </c>
      <c r="D104" s="144" t="s">
        <v>1457</v>
      </c>
      <c r="E104" s="145" t="s">
        <v>1458</v>
      </c>
      <c r="F104" s="143" t="str">
        <f>SUBSTITUTE(E104," ","")</f>
        <v>42079044689</v>
      </c>
      <c r="G104" s="143" t="s">
        <v>1309</v>
      </c>
      <c r="H104" s="143" t="s">
        <v>53</v>
      </c>
      <c r="I104" s="143">
        <v>4720</v>
      </c>
      <c r="J104" s="143">
        <v>-23.237006999999998</v>
      </c>
      <c r="K104" s="143">
        <v>148.36655500000001</v>
      </c>
      <c r="L104" s="143">
        <v>1992</v>
      </c>
      <c r="M104" s="143">
        <v>30</v>
      </c>
      <c r="N104" s="143">
        <v>2033</v>
      </c>
      <c r="O104" s="143"/>
      <c r="P104" s="143"/>
      <c r="Q104" s="143" t="s">
        <v>29</v>
      </c>
      <c r="R104" s="143" t="s">
        <v>29</v>
      </c>
      <c r="S104" s="147" t="s">
        <v>612</v>
      </c>
      <c r="T104" s="143">
        <v>1</v>
      </c>
      <c r="U104" s="143" t="s">
        <v>1459</v>
      </c>
      <c r="V104" s="143" t="s">
        <v>1460</v>
      </c>
      <c r="W104" s="143" t="s">
        <v>1397</v>
      </c>
      <c r="X104" s="143" t="s">
        <v>1041</v>
      </c>
      <c r="Y104" s="143" t="s">
        <v>1398</v>
      </c>
      <c r="Z104" s="143" t="s">
        <v>1461</v>
      </c>
      <c r="AA104" s="143" t="s">
        <v>1462</v>
      </c>
      <c r="AB104" s="153">
        <v>0</v>
      </c>
      <c r="AC104" s="153" t="s">
        <v>1044</v>
      </c>
      <c r="AD104" s="153"/>
      <c r="AE104" s="153"/>
      <c r="AF104" s="143" t="s">
        <v>1045</v>
      </c>
      <c r="AG104" s="155"/>
      <c r="AH104" s="147" t="s">
        <v>26</v>
      </c>
      <c r="AI104" s="146" t="s">
        <v>25</v>
      </c>
      <c r="AJ104" s="146" t="s">
        <v>1441</v>
      </c>
      <c r="AK104" s="146" t="s">
        <v>33</v>
      </c>
      <c r="AL104" s="143" t="s">
        <v>43</v>
      </c>
      <c r="AM104" s="143"/>
      <c r="AN104" s="143"/>
      <c r="AO104" s="143"/>
      <c r="AP104" s="152"/>
      <c r="AQ104" s="153"/>
      <c r="AR104" s="153"/>
      <c r="AS104" s="153"/>
      <c r="AT104" s="153"/>
      <c r="AU104" s="154"/>
      <c r="AV104" s="153" t="s">
        <v>41</v>
      </c>
      <c r="AW104" s="153" t="s">
        <v>41</v>
      </c>
      <c r="AX104" s="153" t="s">
        <v>41</v>
      </c>
      <c r="AY104" s="153" t="s">
        <v>73</v>
      </c>
      <c r="AZ104" s="153" t="s">
        <v>73</v>
      </c>
      <c r="BA104" s="154" t="s">
        <v>73</v>
      </c>
      <c r="BB104" s="152">
        <v>718062</v>
      </c>
      <c r="BC104" s="153">
        <v>718062</v>
      </c>
      <c r="BD104" s="153">
        <v>657076</v>
      </c>
      <c r="BE104" s="157">
        <v>1325810</v>
      </c>
      <c r="BF104" s="157">
        <v>1342468</v>
      </c>
      <c r="BG104" s="157"/>
      <c r="BH104" s="155"/>
      <c r="BI104" s="152">
        <v>465233</v>
      </c>
      <c r="BJ104" s="153">
        <v>476200</v>
      </c>
      <c r="BK104" s="153">
        <v>373850</v>
      </c>
      <c r="BL104" s="153">
        <v>970726</v>
      </c>
      <c r="BM104" s="153">
        <v>1178560</v>
      </c>
      <c r="BN104" s="154">
        <f>SUMIF(BI104:BM104,"&gt;0",BI104:BM104)</f>
        <v>3464569</v>
      </c>
      <c r="BO104" s="156"/>
      <c r="BP104" s="148"/>
      <c r="BQ104" s="153"/>
      <c r="BR104" s="153"/>
      <c r="BS104" s="152">
        <v>5095000</v>
      </c>
      <c r="BT104" s="148">
        <v>329000</v>
      </c>
      <c r="BU104" s="148">
        <v>6800000</v>
      </c>
      <c r="BV104" s="148">
        <v>5700000</v>
      </c>
      <c r="BW104" s="148">
        <v>5700000</v>
      </c>
      <c r="BX104" s="154">
        <f>SUM(BS104:BW104)</f>
        <v>23624000</v>
      </c>
      <c r="BY104" s="143">
        <f>BI104/BS104</f>
        <v>9.1311678115799808E-2</v>
      </c>
      <c r="BZ104" s="143">
        <f>BJ104/BT104</f>
        <v>1.4474164133738603</v>
      </c>
      <c r="CA104" s="143">
        <f>BK104/BU104</f>
        <v>5.4977941176470591E-2</v>
      </c>
      <c r="CB104" s="143">
        <f>BL104/BV104</f>
        <v>0.17030280701754386</v>
      </c>
      <c r="CC104" s="143">
        <f>BM104/BW104</f>
        <v>0.20676491228070176</v>
      </c>
      <c r="CD104" s="259">
        <f>AVERAGE(BY104:CC104)</f>
        <v>0.39415475039287529</v>
      </c>
    </row>
    <row r="105" spans="1:82" ht="14.5">
      <c r="A105" s="143" t="s">
        <v>381</v>
      </c>
      <c r="B105" s="143" t="s">
        <v>1314</v>
      </c>
      <c r="C105" s="144" t="s">
        <v>1315</v>
      </c>
      <c r="D105" s="144" t="s">
        <v>1316</v>
      </c>
      <c r="E105" s="145" t="s">
        <v>1000</v>
      </c>
      <c r="F105" s="143" t="str">
        <f>SUBSTITUTE(E105," ","")</f>
        <v>74101155220</v>
      </c>
      <c r="G105" s="143" t="s">
        <v>1317</v>
      </c>
      <c r="H105" s="143" t="s">
        <v>31</v>
      </c>
      <c r="I105" s="143">
        <v>2759</v>
      </c>
      <c r="J105" s="143">
        <v>-33.818542000000001</v>
      </c>
      <c r="K105" s="143">
        <v>150.78134299999999</v>
      </c>
      <c r="L105" s="143" t="s">
        <v>292</v>
      </c>
      <c r="M105" s="143" t="s">
        <v>292</v>
      </c>
      <c r="N105" s="143" t="s">
        <v>292</v>
      </c>
      <c r="O105" s="143"/>
      <c r="P105" s="143"/>
      <c r="Q105" s="143" t="s">
        <v>287</v>
      </c>
      <c r="R105" s="143" t="s">
        <v>85</v>
      </c>
      <c r="S105" s="147" t="s">
        <v>612</v>
      </c>
      <c r="T105" s="143">
        <v>1</v>
      </c>
      <c r="U105" s="143" t="s">
        <v>1318</v>
      </c>
      <c r="V105" s="143" t="s">
        <v>1319</v>
      </c>
      <c r="W105" s="143" t="s">
        <v>1320</v>
      </c>
      <c r="X105" s="143" t="s">
        <v>85</v>
      </c>
      <c r="Y105" s="143" t="s">
        <v>1321</v>
      </c>
      <c r="Z105" s="143" t="s">
        <v>1286</v>
      </c>
      <c r="AA105" s="143" t="s">
        <v>1322</v>
      </c>
      <c r="AB105" s="153">
        <v>230922</v>
      </c>
      <c r="AC105" s="153" t="s">
        <v>1323</v>
      </c>
      <c r="AD105" s="153">
        <v>373004</v>
      </c>
      <c r="AE105" s="153">
        <v>373004</v>
      </c>
      <c r="AF105" s="143" t="s">
        <v>1045</v>
      </c>
      <c r="AG105" s="155" t="s">
        <v>1324</v>
      </c>
      <c r="AH105" s="150" t="s">
        <v>37</v>
      </c>
      <c r="AI105" s="151" t="s">
        <v>76</v>
      </c>
      <c r="AJ105" s="151" t="s">
        <v>70</v>
      </c>
      <c r="AK105" s="151" t="s">
        <v>70</v>
      </c>
      <c r="AL105" s="151" t="s">
        <v>118</v>
      </c>
      <c r="AM105" s="151" t="s">
        <v>70</v>
      </c>
      <c r="AN105" s="151" t="s">
        <v>70</v>
      </c>
      <c r="AO105" s="151" t="s">
        <v>70</v>
      </c>
      <c r="AP105" s="152"/>
      <c r="AQ105" s="153"/>
      <c r="AR105" s="153"/>
      <c r="AS105" s="153"/>
      <c r="AT105" s="153"/>
      <c r="AU105" s="154"/>
      <c r="AV105" s="153" t="s">
        <v>106</v>
      </c>
      <c r="AW105" s="153" t="s">
        <v>106</v>
      </c>
      <c r="AX105" s="153" t="s">
        <v>106</v>
      </c>
      <c r="AY105" s="153" t="s">
        <v>106</v>
      </c>
      <c r="AZ105" s="153" t="s">
        <v>106</v>
      </c>
      <c r="BA105" s="154" t="s">
        <v>114</v>
      </c>
      <c r="BB105" s="152">
        <v>328946</v>
      </c>
      <c r="BC105" s="153">
        <v>328946</v>
      </c>
      <c r="BD105" s="153">
        <v>328946</v>
      </c>
      <c r="BE105" s="153">
        <v>328946</v>
      </c>
      <c r="BF105" s="153">
        <v>328946</v>
      </c>
      <c r="BG105" s="157"/>
      <c r="BH105" s="155"/>
      <c r="BI105" s="152" t="s">
        <v>920</v>
      </c>
      <c r="BJ105" s="153" t="s">
        <v>920</v>
      </c>
      <c r="BK105" s="153" t="s">
        <v>920</v>
      </c>
      <c r="BL105" s="153" t="s">
        <v>920</v>
      </c>
      <c r="BM105" s="153" t="s">
        <v>920</v>
      </c>
      <c r="BN105" s="154">
        <f>SUMIF(BI105:BM105,"&gt;0",BI105:BM105)</f>
        <v>0</v>
      </c>
      <c r="BO105" s="156"/>
      <c r="BP105" s="148"/>
      <c r="BQ105" s="153"/>
      <c r="BR105" s="153"/>
      <c r="BS105" s="152"/>
      <c r="BT105" s="148"/>
      <c r="BU105" s="148"/>
      <c r="BV105" s="148"/>
      <c r="BW105" s="148"/>
      <c r="BX105" s="154">
        <f>SUM(BS105:BW105)</f>
        <v>0</v>
      </c>
      <c r="BY105" s="143"/>
      <c r="BZ105" s="143"/>
      <c r="CA105" s="143"/>
      <c r="CB105" s="143"/>
      <c r="CC105" s="143"/>
      <c r="CD105" s="259"/>
    </row>
    <row r="106" spans="1:82" ht="14.5">
      <c r="A106" s="143" t="s">
        <v>380</v>
      </c>
      <c r="B106" s="143" t="s">
        <v>997</v>
      </c>
      <c r="C106" s="144" t="s">
        <v>744</v>
      </c>
      <c r="D106" s="144" t="s">
        <v>1313</v>
      </c>
      <c r="E106" s="145" t="s">
        <v>745</v>
      </c>
      <c r="F106" s="143" t="str">
        <f>SUBSTITUTE(E106," ","")</f>
        <v>87009661447</v>
      </c>
      <c r="G106" s="173" t="s">
        <v>2086</v>
      </c>
      <c r="H106" s="173" t="s">
        <v>53</v>
      </c>
      <c r="I106" s="143">
        <v>4824</v>
      </c>
      <c r="J106" s="143" t="s">
        <v>292</v>
      </c>
      <c r="K106" s="143" t="s">
        <v>292</v>
      </c>
      <c r="L106" s="143" t="s">
        <v>292</v>
      </c>
      <c r="M106" s="143" t="s">
        <v>292</v>
      </c>
      <c r="N106" s="143" t="s">
        <v>292</v>
      </c>
      <c r="O106" s="143"/>
      <c r="P106" s="143"/>
      <c r="Q106" s="143" t="s">
        <v>224</v>
      </c>
      <c r="R106" s="143" t="s">
        <v>79</v>
      </c>
      <c r="S106" s="147"/>
      <c r="T106" s="143"/>
      <c r="U106" s="143"/>
      <c r="V106" s="143"/>
      <c r="W106" s="143"/>
      <c r="X106" s="143"/>
      <c r="Y106" s="143"/>
      <c r="Z106" s="143"/>
      <c r="AA106" s="143"/>
      <c r="AB106" s="143"/>
      <c r="AC106" s="143"/>
      <c r="AD106" s="153"/>
      <c r="AE106" s="153"/>
      <c r="AF106" s="143"/>
      <c r="AG106" s="155"/>
      <c r="AH106" s="150" t="s">
        <v>37</v>
      </c>
      <c r="AI106" s="151" t="s">
        <v>76</v>
      </c>
      <c r="AJ106" s="151" t="s">
        <v>70</v>
      </c>
      <c r="AK106" s="151" t="s">
        <v>70</v>
      </c>
      <c r="AL106" s="151" t="s">
        <v>118</v>
      </c>
      <c r="AM106" s="151" t="s">
        <v>70</v>
      </c>
      <c r="AN106" s="151" t="s">
        <v>70</v>
      </c>
      <c r="AO106" s="151" t="s">
        <v>70</v>
      </c>
      <c r="AP106" s="152"/>
      <c r="AQ106" s="153"/>
      <c r="AR106" s="153"/>
      <c r="AS106" s="153"/>
      <c r="AT106" s="153"/>
      <c r="AU106" s="154"/>
      <c r="AV106" s="153" t="s">
        <v>106</v>
      </c>
      <c r="AW106" s="153" t="s">
        <v>106</v>
      </c>
      <c r="AX106" s="153" t="s">
        <v>106</v>
      </c>
      <c r="AY106" s="153" t="s">
        <v>106</v>
      </c>
      <c r="AZ106" s="153" t="s">
        <v>106</v>
      </c>
      <c r="BA106" s="154" t="s">
        <v>114</v>
      </c>
      <c r="BB106" s="152">
        <v>100000</v>
      </c>
      <c r="BC106" s="153">
        <v>100000</v>
      </c>
      <c r="BD106" s="153">
        <v>100000</v>
      </c>
      <c r="BE106" s="153">
        <v>100000</v>
      </c>
      <c r="BF106" s="153">
        <v>100000</v>
      </c>
      <c r="BG106" s="157"/>
      <c r="BH106" s="155"/>
      <c r="BI106" s="152" t="s">
        <v>920</v>
      </c>
      <c r="BJ106" s="153" t="s">
        <v>920</v>
      </c>
      <c r="BK106" s="153" t="s">
        <v>920</v>
      </c>
      <c r="BL106" s="153" t="s">
        <v>920</v>
      </c>
      <c r="BM106" s="153" t="s">
        <v>920</v>
      </c>
      <c r="BN106" s="154">
        <f>SUMIF(BI106:BM106,"&gt;0",BI106:BM106)</f>
        <v>0</v>
      </c>
      <c r="BO106" s="156"/>
      <c r="BP106" s="148"/>
      <c r="BQ106" s="153"/>
      <c r="BR106" s="153"/>
      <c r="BS106" s="152"/>
      <c r="BT106" s="148"/>
      <c r="BU106" s="148"/>
      <c r="BV106" s="148"/>
      <c r="BW106" s="148"/>
      <c r="BX106" s="154">
        <f>SUM(BS106:BW106)</f>
        <v>0</v>
      </c>
      <c r="BY106" s="143"/>
      <c r="BZ106" s="143"/>
      <c r="CA106" s="143"/>
      <c r="CB106" s="143"/>
      <c r="CC106" s="143"/>
      <c r="CD106" s="259"/>
    </row>
    <row r="107" spans="1:82" ht="14.5">
      <c r="A107" s="143" t="s">
        <v>448</v>
      </c>
      <c r="B107" s="143" t="s">
        <v>1546</v>
      </c>
      <c r="C107" s="144" t="s">
        <v>739</v>
      </c>
      <c r="D107" s="144" t="s">
        <v>1547</v>
      </c>
      <c r="E107" s="145" t="s">
        <v>740</v>
      </c>
      <c r="F107" s="143" t="str">
        <f>SUBSTITUTE(E107," ","")</f>
        <v>48004300163</v>
      </c>
      <c r="G107" s="143" t="s">
        <v>1548</v>
      </c>
      <c r="H107" s="143" t="s">
        <v>74</v>
      </c>
      <c r="I107" s="143">
        <v>3018</v>
      </c>
      <c r="J107" s="143">
        <v>-37.851443000000003</v>
      </c>
      <c r="K107" s="143">
        <v>144.847354</v>
      </c>
      <c r="L107" s="143">
        <v>1949</v>
      </c>
      <c r="M107" s="143">
        <v>73</v>
      </c>
      <c r="N107" s="143">
        <v>0</v>
      </c>
      <c r="O107" s="143"/>
      <c r="P107" s="143"/>
      <c r="Q107" s="143" t="s">
        <v>119</v>
      </c>
      <c r="R107" s="143" t="s">
        <v>58</v>
      </c>
      <c r="S107" s="147"/>
      <c r="T107" s="143"/>
      <c r="U107" s="143"/>
      <c r="V107" s="143"/>
      <c r="W107" s="143"/>
      <c r="X107" s="143"/>
      <c r="Y107" s="143"/>
      <c r="Z107" s="143"/>
      <c r="AA107" s="143"/>
      <c r="AB107" s="143"/>
      <c r="AC107" s="143"/>
      <c r="AD107" s="153"/>
      <c r="AE107" s="153"/>
      <c r="AF107" s="143"/>
      <c r="AG107" s="155"/>
      <c r="AH107" s="147" t="s">
        <v>26</v>
      </c>
      <c r="AI107" s="151" t="s">
        <v>76</v>
      </c>
      <c r="AJ107" s="146"/>
      <c r="AK107" s="146" t="s">
        <v>70</v>
      </c>
      <c r="AL107" s="151" t="s">
        <v>118</v>
      </c>
      <c r="AM107" s="143"/>
      <c r="AN107" s="143"/>
      <c r="AO107" s="143"/>
      <c r="AP107" s="152" t="s">
        <v>26</v>
      </c>
      <c r="AQ107" s="153" t="s">
        <v>37</v>
      </c>
      <c r="AR107" s="148" t="s">
        <v>1094</v>
      </c>
      <c r="AS107" s="160" t="str">
        <f>IF(BM107&gt;(BJ107*1.1),"yes","no")</f>
        <v>no</v>
      </c>
      <c r="AT107" s="160" t="str">
        <f>IF(BM107&gt;(BI107*1.1),"yes","no")</f>
        <v>no</v>
      </c>
      <c r="AU107" s="154">
        <v>0</v>
      </c>
      <c r="AV107" s="153" t="s">
        <v>1028</v>
      </c>
      <c r="AW107" s="153" t="s">
        <v>106</v>
      </c>
      <c r="AX107" s="153" t="s">
        <v>106</v>
      </c>
      <c r="AY107" s="153" t="s">
        <v>106</v>
      </c>
      <c r="AZ107" s="153" t="s">
        <v>106</v>
      </c>
      <c r="BA107" s="169" t="s">
        <v>111</v>
      </c>
      <c r="BB107" s="152">
        <v>811594</v>
      </c>
      <c r="BC107" s="153">
        <v>811594</v>
      </c>
      <c r="BD107" s="153">
        <v>811594</v>
      </c>
      <c r="BE107" s="157">
        <v>811594</v>
      </c>
      <c r="BF107" s="157">
        <v>811594</v>
      </c>
      <c r="BG107" s="157"/>
      <c r="BH107" s="155"/>
      <c r="BI107" s="152">
        <v>725661</v>
      </c>
      <c r="BJ107" s="153">
        <v>735840</v>
      </c>
      <c r="BK107" s="153">
        <v>736786</v>
      </c>
      <c r="BL107" s="153">
        <v>600131</v>
      </c>
      <c r="BM107" s="153">
        <v>678318</v>
      </c>
      <c r="BN107" s="154">
        <f>SUMIF(BI107:BM107,"&gt;0",BI107:BM107)</f>
        <v>3476736</v>
      </c>
      <c r="BO107" s="156"/>
      <c r="BP107" s="148"/>
      <c r="BQ107" s="153"/>
      <c r="BR107" s="153"/>
      <c r="BS107" s="152"/>
      <c r="BT107" s="148"/>
      <c r="BU107" s="148"/>
      <c r="BV107" s="148"/>
      <c r="BW107" s="148"/>
      <c r="BX107" s="154">
        <f>SUM(BS107:BW107)</f>
        <v>0</v>
      </c>
      <c r="BY107" s="143"/>
      <c r="BZ107" s="143"/>
      <c r="CA107" s="143"/>
      <c r="CB107" s="143"/>
      <c r="CC107" s="143"/>
      <c r="CD107" s="259"/>
    </row>
    <row r="108" spans="1:82" ht="14.5">
      <c r="A108" s="143" t="s">
        <v>395</v>
      </c>
      <c r="B108" s="143" t="s">
        <v>997</v>
      </c>
      <c r="C108" s="144" t="s">
        <v>688</v>
      </c>
      <c r="D108" s="144" t="s">
        <v>1359</v>
      </c>
      <c r="E108" s="145" t="s">
        <v>689</v>
      </c>
      <c r="F108" s="143" t="str">
        <f>SUBSTITUTE(E108," ","")</f>
        <v>62091829819</v>
      </c>
      <c r="G108" s="143" t="s">
        <v>292</v>
      </c>
      <c r="H108" s="173" t="s">
        <v>74</v>
      </c>
      <c r="I108" s="143" t="s">
        <v>292</v>
      </c>
      <c r="J108" s="143" t="s">
        <v>292</v>
      </c>
      <c r="K108" s="143" t="s">
        <v>292</v>
      </c>
      <c r="L108" s="143">
        <v>1964</v>
      </c>
      <c r="M108" s="143">
        <v>58</v>
      </c>
      <c r="N108" s="143">
        <v>0</v>
      </c>
      <c r="O108" s="143"/>
      <c r="P108" s="143"/>
      <c r="Q108" s="143" t="s">
        <v>121</v>
      </c>
      <c r="R108" s="143" t="s">
        <v>58</v>
      </c>
      <c r="S108" s="147"/>
      <c r="T108" s="143"/>
      <c r="U108" s="143"/>
      <c r="V108" s="143"/>
      <c r="W108" s="143"/>
      <c r="X108" s="143"/>
      <c r="Y108" s="143"/>
      <c r="Z108" s="143"/>
      <c r="AA108" s="143"/>
      <c r="AB108" s="143"/>
      <c r="AC108" s="143"/>
      <c r="AD108" s="153"/>
      <c r="AE108" s="153"/>
      <c r="AF108" s="143"/>
      <c r="AG108" s="155"/>
      <c r="AH108" s="147" t="s">
        <v>26</v>
      </c>
      <c r="AI108" s="151" t="s">
        <v>76</v>
      </c>
      <c r="AJ108" s="146"/>
      <c r="AK108" s="146" t="s">
        <v>292</v>
      </c>
      <c r="AL108" s="146" t="s">
        <v>292</v>
      </c>
      <c r="AM108" s="143"/>
      <c r="AN108" s="143"/>
      <c r="AO108" s="143"/>
      <c r="AP108" s="152"/>
      <c r="AQ108" s="153"/>
      <c r="AR108" s="153"/>
      <c r="AS108" s="153"/>
      <c r="AT108" s="153"/>
      <c r="AU108" s="154"/>
      <c r="AV108" s="153" t="s">
        <v>41</v>
      </c>
      <c r="AW108" s="153" t="s">
        <v>41</v>
      </c>
      <c r="AX108" s="153" t="s">
        <v>41</v>
      </c>
      <c r="AY108" s="153" t="s">
        <v>98</v>
      </c>
      <c r="AZ108" s="153" t="s">
        <v>98</v>
      </c>
      <c r="BA108" s="154" t="s">
        <v>98</v>
      </c>
      <c r="BB108" s="152">
        <v>2380595</v>
      </c>
      <c r="BC108" s="153">
        <v>2380595</v>
      </c>
      <c r="BD108" s="153">
        <v>2380595</v>
      </c>
      <c r="BE108" s="157">
        <v>2731285</v>
      </c>
      <c r="BF108" s="157">
        <v>2740315</v>
      </c>
      <c r="BG108" s="157"/>
      <c r="BH108" s="155"/>
      <c r="BI108" s="152">
        <v>1875564</v>
      </c>
      <c r="BJ108" s="153">
        <v>2284825</v>
      </c>
      <c r="BK108" s="153">
        <v>2152449</v>
      </c>
      <c r="BL108" s="153">
        <v>1835088</v>
      </c>
      <c r="BM108" s="153">
        <v>1565319</v>
      </c>
      <c r="BN108" s="154">
        <f>SUMIF(BI108:BM108,"&gt;0",BI108:BM108)</f>
        <v>9713245</v>
      </c>
      <c r="BO108" s="156"/>
      <c r="BP108" s="148"/>
      <c r="BQ108" s="153"/>
      <c r="BR108" s="153"/>
      <c r="BS108" s="152"/>
      <c r="BT108" s="148"/>
      <c r="BU108" s="148"/>
      <c r="BV108" s="148"/>
      <c r="BW108" s="148"/>
      <c r="BX108" s="154">
        <f>SUM(BS108:BW108)</f>
        <v>0</v>
      </c>
      <c r="BY108" s="143"/>
      <c r="BZ108" s="143"/>
      <c r="CA108" s="143"/>
      <c r="CB108" s="143"/>
      <c r="CC108" s="143"/>
      <c r="CD108" s="259"/>
    </row>
    <row r="109" spans="1:82" ht="14.5">
      <c r="A109" s="143" t="s">
        <v>525</v>
      </c>
      <c r="B109" s="143" t="s">
        <v>1821</v>
      </c>
      <c r="C109" s="144" t="s">
        <v>799</v>
      </c>
      <c r="D109" s="144" t="s">
        <v>1822</v>
      </c>
      <c r="E109" s="145" t="s">
        <v>800</v>
      </c>
      <c r="F109" s="143" t="str">
        <f>SUBSTITUTE(E109," ","")</f>
        <v>92135761465</v>
      </c>
      <c r="G109" s="143" t="s">
        <v>1823</v>
      </c>
      <c r="H109" s="143" t="s">
        <v>81</v>
      </c>
      <c r="I109" s="143">
        <v>6450</v>
      </c>
      <c r="J109" s="143">
        <v>-33.644419999999997</v>
      </c>
      <c r="K109" s="143">
        <v>120.38850499999999</v>
      </c>
      <c r="L109" s="143" t="s">
        <v>292</v>
      </c>
      <c r="M109" s="143" t="s">
        <v>292</v>
      </c>
      <c r="N109" s="143" t="s">
        <v>292</v>
      </c>
      <c r="O109" s="143"/>
      <c r="P109" s="143"/>
      <c r="Q109" s="143" t="s">
        <v>225</v>
      </c>
      <c r="R109" s="143" t="s">
        <v>79</v>
      </c>
      <c r="S109" s="147"/>
      <c r="T109" s="143"/>
      <c r="U109" s="143"/>
      <c r="V109" s="143"/>
      <c r="W109" s="143"/>
      <c r="X109" s="143"/>
      <c r="Y109" s="143"/>
      <c r="Z109" s="143"/>
      <c r="AA109" s="143"/>
      <c r="AB109" s="143"/>
      <c r="AC109" s="143"/>
      <c r="AD109" s="153"/>
      <c r="AE109" s="153"/>
      <c r="AF109" s="143"/>
      <c r="AG109" s="155"/>
      <c r="AH109" s="150" t="s">
        <v>37</v>
      </c>
      <c r="AI109" s="151" t="s">
        <v>76</v>
      </c>
      <c r="AJ109" s="151" t="s">
        <v>70</v>
      </c>
      <c r="AK109" s="151" t="s">
        <v>70</v>
      </c>
      <c r="AL109" s="151" t="s">
        <v>118</v>
      </c>
      <c r="AM109" s="151" t="s">
        <v>70</v>
      </c>
      <c r="AN109" s="151" t="s">
        <v>70</v>
      </c>
      <c r="AO109" s="151" t="s">
        <v>70</v>
      </c>
      <c r="AP109" s="152"/>
      <c r="AQ109" s="153"/>
      <c r="AR109" s="153"/>
      <c r="AS109" s="153"/>
      <c r="AT109" s="153"/>
      <c r="AU109" s="154"/>
      <c r="AV109" s="153" t="s">
        <v>1028</v>
      </c>
      <c r="AW109" s="153" t="s">
        <v>1028</v>
      </c>
      <c r="AX109" s="153" t="s">
        <v>1028</v>
      </c>
      <c r="AY109" s="153" t="s">
        <v>1028</v>
      </c>
      <c r="AZ109" s="153" t="s">
        <v>73</v>
      </c>
      <c r="BA109" s="154" t="s">
        <v>73</v>
      </c>
      <c r="BB109" s="152">
        <v>133096</v>
      </c>
      <c r="BC109" s="153">
        <v>133096</v>
      </c>
      <c r="BD109" s="153">
        <v>133096</v>
      </c>
      <c r="BE109" s="153">
        <v>133096</v>
      </c>
      <c r="BF109" s="157">
        <v>324093</v>
      </c>
      <c r="BG109" s="157"/>
      <c r="BH109" s="155"/>
      <c r="BI109" s="152">
        <v>110383</v>
      </c>
      <c r="BJ109" s="153" t="s">
        <v>920</v>
      </c>
      <c r="BK109" s="153" t="s">
        <v>920</v>
      </c>
      <c r="BL109" s="153" t="s">
        <v>920</v>
      </c>
      <c r="BM109" s="153">
        <v>175361</v>
      </c>
      <c r="BN109" s="154">
        <f>SUMIF(BI109:BM109,"&gt;0",BI109:BM109)</f>
        <v>285744</v>
      </c>
      <c r="BO109" s="156"/>
      <c r="BP109" s="148"/>
      <c r="BQ109" s="153"/>
      <c r="BR109" s="153"/>
      <c r="BS109" s="152"/>
      <c r="BT109" s="148"/>
      <c r="BU109" s="148"/>
      <c r="BV109" s="148"/>
      <c r="BW109" s="148"/>
      <c r="BX109" s="154">
        <f>SUM(BS109:BW109)</f>
        <v>0</v>
      </c>
      <c r="BY109" s="143"/>
      <c r="BZ109" s="143"/>
      <c r="CA109" s="143"/>
      <c r="CB109" s="143"/>
      <c r="CC109" s="143"/>
      <c r="CD109" s="143"/>
    </row>
    <row r="110" spans="1:82" ht="14.5">
      <c r="A110" s="143" t="s">
        <v>347</v>
      </c>
      <c r="B110" s="143" t="s">
        <v>1210</v>
      </c>
      <c r="C110" s="144" t="s">
        <v>1211</v>
      </c>
      <c r="D110" s="144" t="s">
        <v>1212</v>
      </c>
      <c r="E110" s="145" t="s">
        <v>649</v>
      </c>
      <c r="F110" s="143" t="str">
        <f>SUBSTITUTE(E110," ","")</f>
        <v>83109264262</v>
      </c>
      <c r="G110" s="143" t="s">
        <v>1053</v>
      </c>
      <c r="H110" s="143" t="s">
        <v>81</v>
      </c>
      <c r="I110" s="143">
        <v>6753</v>
      </c>
      <c r="J110" s="143">
        <v>-22.39484496</v>
      </c>
      <c r="K110" s="143">
        <v>119.850233</v>
      </c>
      <c r="L110" s="143">
        <v>2009</v>
      </c>
      <c r="M110" s="143">
        <v>13</v>
      </c>
      <c r="N110" s="143">
        <v>0</v>
      </c>
      <c r="O110" s="143"/>
      <c r="P110" s="143"/>
      <c r="Q110" s="143" t="s">
        <v>125</v>
      </c>
      <c r="R110" s="143" t="s">
        <v>65</v>
      </c>
      <c r="S110" s="147"/>
      <c r="T110" s="143"/>
      <c r="U110" s="143"/>
      <c r="V110" s="143"/>
      <c r="W110" s="143"/>
      <c r="X110" s="143"/>
      <c r="Y110" s="143"/>
      <c r="Z110" s="143"/>
      <c r="AA110" s="143"/>
      <c r="AB110" s="143"/>
      <c r="AC110" s="143"/>
      <c r="AD110" s="153"/>
      <c r="AE110" s="153"/>
      <c r="AF110" s="143"/>
      <c r="AG110" s="155"/>
      <c r="AH110" s="150" t="s">
        <v>37</v>
      </c>
      <c r="AI110" s="151" t="s">
        <v>76</v>
      </c>
      <c r="AJ110" s="151" t="s">
        <v>70</v>
      </c>
      <c r="AK110" s="151" t="s">
        <v>70</v>
      </c>
      <c r="AL110" s="151" t="s">
        <v>118</v>
      </c>
      <c r="AM110" s="151" t="s">
        <v>70</v>
      </c>
      <c r="AN110" s="151" t="s">
        <v>70</v>
      </c>
      <c r="AO110" s="151" t="s">
        <v>70</v>
      </c>
      <c r="AP110" s="152"/>
      <c r="AQ110" s="153"/>
      <c r="AR110" s="153"/>
      <c r="AS110" s="153"/>
      <c r="AT110" s="153"/>
      <c r="AU110" s="154"/>
      <c r="AV110" s="153" t="s">
        <v>1028</v>
      </c>
      <c r="AW110" s="153" t="s">
        <v>106</v>
      </c>
      <c r="AX110" s="153" t="s">
        <v>106</v>
      </c>
      <c r="AY110" s="153" t="s">
        <v>106</v>
      </c>
      <c r="AZ110" s="153" t="s">
        <v>73</v>
      </c>
      <c r="BA110" s="154" t="s">
        <v>73</v>
      </c>
      <c r="BB110" s="152">
        <v>556084</v>
      </c>
      <c r="BC110" s="153">
        <v>556084</v>
      </c>
      <c r="BD110" s="153">
        <v>556084</v>
      </c>
      <c r="BE110" s="157">
        <v>556084</v>
      </c>
      <c r="BF110" s="157">
        <v>596884</v>
      </c>
      <c r="BG110" s="157"/>
      <c r="BH110" s="155"/>
      <c r="BI110" s="152">
        <v>436482</v>
      </c>
      <c r="BJ110" s="153">
        <v>432730</v>
      </c>
      <c r="BK110" s="153">
        <v>510900</v>
      </c>
      <c r="BL110" s="153">
        <v>546522</v>
      </c>
      <c r="BM110" s="153">
        <v>574485</v>
      </c>
      <c r="BN110" s="154">
        <f>SUMIF(BI110:BM110,"&gt;0",BI110:BM110)</f>
        <v>2501119</v>
      </c>
      <c r="BO110" s="156"/>
      <c r="BP110" s="148"/>
      <c r="BQ110" s="153"/>
      <c r="BR110" s="153"/>
      <c r="BS110" s="152"/>
      <c r="BT110" s="148"/>
      <c r="BU110" s="148"/>
      <c r="BV110" s="148"/>
      <c r="BW110" s="148"/>
      <c r="BX110" s="154">
        <f>SUM(BS110:BW110)</f>
        <v>0</v>
      </c>
      <c r="BY110" s="143"/>
      <c r="BZ110" s="143"/>
      <c r="CA110" s="143"/>
      <c r="CB110" s="143"/>
      <c r="CC110" s="143"/>
      <c r="CD110" s="259"/>
    </row>
    <row r="111" spans="1:82" ht="14.5">
      <c r="A111" s="143" t="s">
        <v>349</v>
      </c>
      <c r="B111" s="143" t="s">
        <v>1216</v>
      </c>
      <c r="C111" s="144" t="s">
        <v>1211</v>
      </c>
      <c r="D111" s="144" t="s">
        <v>1212</v>
      </c>
      <c r="E111" s="145" t="s">
        <v>649</v>
      </c>
      <c r="F111" s="143" t="str">
        <f>SUBSTITUTE(E111," ","")</f>
        <v>83109264262</v>
      </c>
      <c r="G111" s="143" t="s">
        <v>1217</v>
      </c>
      <c r="H111" s="143" t="s">
        <v>81</v>
      </c>
      <c r="I111" s="143">
        <v>6751</v>
      </c>
      <c r="J111" s="143">
        <v>-22.326266</v>
      </c>
      <c r="K111" s="143">
        <v>119.405736</v>
      </c>
      <c r="L111" s="143">
        <v>2007</v>
      </c>
      <c r="M111" s="143">
        <v>15</v>
      </c>
      <c r="N111" s="143">
        <v>0</v>
      </c>
      <c r="O111" s="143"/>
      <c r="P111" s="143"/>
      <c r="Q111" s="143" t="s">
        <v>125</v>
      </c>
      <c r="R111" s="143" t="s">
        <v>65</v>
      </c>
      <c r="S111" s="147"/>
      <c r="T111" s="143"/>
      <c r="U111" s="143"/>
      <c r="V111" s="143"/>
      <c r="W111" s="143"/>
      <c r="X111" s="143"/>
      <c r="Y111" s="143"/>
      <c r="Z111" s="143"/>
      <c r="AA111" s="143"/>
      <c r="AB111" s="143"/>
      <c r="AC111" s="143"/>
      <c r="AD111" s="153"/>
      <c r="AE111" s="153"/>
      <c r="AF111" s="143"/>
      <c r="AG111" s="155"/>
      <c r="AH111" s="150" t="s">
        <v>37</v>
      </c>
      <c r="AI111" s="151" t="s">
        <v>76</v>
      </c>
      <c r="AJ111" s="151" t="s">
        <v>70</v>
      </c>
      <c r="AK111" s="151" t="s">
        <v>70</v>
      </c>
      <c r="AL111" s="151" t="s">
        <v>118</v>
      </c>
      <c r="AM111" s="151" t="s">
        <v>70</v>
      </c>
      <c r="AN111" s="151" t="s">
        <v>70</v>
      </c>
      <c r="AO111" s="151" t="s">
        <v>70</v>
      </c>
      <c r="AP111" s="152"/>
      <c r="AQ111" s="153"/>
      <c r="AR111" s="153"/>
      <c r="AS111" s="153"/>
      <c r="AT111" s="153"/>
      <c r="AU111" s="154"/>
      <c r="AV111" s="153" t="s">
        <v>1028</v>
      </c>
      <c r="AW111" s="153" t="s">
        <v>106</v>
      </c>
      <c r="AX111" s="153" t="s">
        <v>106</v>
      </c>
      <c r="AY111" s="153" t="s">
        <v>106</v>
      </c>
      <c r="AZ111" s="153" t="s">
        <v>73</v>
      </c>
      <c r="BA111" s="154" t="s">
        <v>73</v>
      </c>
      <c r="BB111" s="152">
        <v>503395</v>
      </c>
      <c r="BC111" s="153">
        <v>503395</v>
      </c>
      <c r="BD111" s="153">
        <v>503395</v>
      </c>
      <c r="BE111" s="157">
        <v>503395</v>
      </c>
      <c r="BF111" s="157">
        <v>405681</v>
      </c>
      <c r="BG111" s="157"/>
      <c r="BH111" s="155"/>
      <c r="BI111" s="152">
        <v>411362</v>
      </c>
      <c r="BJ111" s="153">
        <v>379620</v>
      </c>
      <c r="BK111" s="153">
        <v>401193</v>
      </c>
      <c r="BL111" s="153">
        <v>419050</v>
      </c>
      <c r="BM111" s="153">
        <v>422427</v>
      </c>
      <c r="BN111" s="154">
        <f>SUMIF(BI111:BM111,"&gt;0",BI111:BM111)</f>
        <v>2033652</v>
      </c>
      <c r="BO111" s="156"/>
      <c r="BP111" s="148"/>
      <c r="BQ111" s="153"/>
      <c r="BR111" s="153"/>
      <c r="BS111" s="152"/>
      <c r="BT111" s="148"/>
      <c r="BU111" s="148"/>
      <c r="BV111" s="148"/>
      <c r="BW111" s="148"/>
      <c r="BX111" s="154">
        <f>SUM(BS111:BW111)</f>
        <v>0</v>
      </c>
      <c r="BY111" s="143"/>
      <c r="BZ111" s="143"/>
      <c r="CA111" s="143"/>
      <c r="CB111" s="143"/>
      <c r="CC111" s="143"/>
      <c r="CD111" s="259"/>
    </row>
    <row r="112" spans="1:82" ht="14.5">
      <c r="A112" s="143" t="s">
        <v>549</v>
      </c>
      <c r="B112" s="143" t="s">
        <v>1897</v>
      </c>
      <c r="C112" s="144" t="s">
        <v>669</v>
      </c>
      <c r="D112" s="144" t="s">
        <v>1212</v>
      </c>
      <c r="E112" s="145" t="s">
        <v>670</v>
      </c>
      <c r="F112" s="143" t="str">
        <f>SUBSTITUTE(E112," ","")</f>
        <v>95128959179</v>
      </c>
      <c r="G112" s="143" t="s">
        <v>1146</v>
      </c>
      <c r="H112" s="143" t="s">
        <v>81</v>
      </c>
      <c r="I112" s="143">
        <v>6751</v>
      </c>
      <c r="J112" s="143">
        <v>-22.209</v>
      </c>
      <c r="K112" s="143">
        <v>117.82599999999999</v>
      </c>
      <c r="L112" s="143">
        <v>2013</v>
      </c>
      <c r="M112" s="143">
        <v>9</v>
      </c>
      <c r="N112" s="143">
        <v>2033</v>
      </c>
      <c r="O112" s="143"/>
      <c r="P112" s="143"/>
      <c r="Q112" s="143" t="s">
        <v>125</v>
      </c>
      <c r="R112" s="143" t="s">
        <v>65</v>
      </c>
      <c r="S112" s="147" t="s">
        <v>612</v>
      </c>
      <c r="T112" s="143">
        <v>1</v>
      </c>
      <c r="U112" s="143" t="s">
        <v>1898</v>
      </c>
      <c r="V112" s="143" t="s">
        <v>1899</v>
      </c>
      <c r="W112" s="143" t="s">
        <v>1370</v>
      </c>
      <c r="X112" s="143" t="s">
        <v>1125</v>
      </c>
      <c r="Y112" s="143" t="s">
        <v>1900</v>
      </c>
      <c r="Z112" s="143" t="s">
        <v>1901</v>
      </c>
      <c r="AA112" s="143" t="s">
        <v>1902</v>
      </c>
      <c r="AB112" s="153">
        <v>0</v>
      </c>
      <c r="AC112" s="153" t="s">
        <v>1044</v>
      </c>
      <c r="AD112" s="153"/>
      <c r="AE112" s="153"/>
      <c r="AF112" s="143" t="s">
        <v>1072</v>
      </c>
      <c r="AG112" s="155" t="s">
        <v>1903</v>
      </c>
      <c r="AH112" s="150" t="s">
        <v>37</v>
      </c>
      <c r="AI112" s="151" t="s">
        <v>76</v>
      </c>
      <c r="AJ112" s="151" t="s">
        <v>70</v>
      </c>
      <c r="AK112" s="151" t="s">
        <v>70</v>
      </c>
      <c r="AL112" s="151" t="s">
        <v>118</v>
      </c>
      <c r="AM112" s="151" t="s">
        <v>70</v>
      </c>
      <c r="AN112" s="151" t="s">
        <v>70</v>
      </c>
      <c r="AO112" s="151" t="s">
        <v>70</v>
      </c>
      <c r="AP112" s="152" t="s">
        <v>26</v>
      </c>
      <c r="AQ112" s="153" t="s">
        <v>26</v>
      </c>
      <c r="AR112" s="160" t="str">
        <f>IF(BF112&gt;(BD112*1.1),"yes","no")</f>
        <v>yes</v>
      </c>
      <c r="AS112" s="160" t="str">
        <f>IF(BM112&gt;(BJ112*1.1),"yes","no")</f>
        <v>yes</v>
      </c>
      <c r="AT112" s="160" t="str">
        <f>IF(BM112&gt;(BI112*1.1),"yes","no")</f>
        <v>yes</v>
      </c>
      <c r="AU112" s="154">
        <v>8411</v>
      </c>
      <c r="AV112" s="153" t="s">
        <v>41</v>
      </c>
      <c r="AW112" s="153" t="s">
        <v>41</v>
      </c>
      <c r="AX112" s="153" t="s">
        <v>52</v>
      </c>
      <c r="AY112" s="153" t="s">
        <v>80</v>
      </c>
      <c r="AZ112" s="153" t="s">
        <v>80</v>
      </c>
      <c r="BA112" s="154" t="s">
        <v>73</v>
      </c>
      <c r="BB112" s="152">
        <v>377697</v>
      </c>
      <c r="BC112" s="153">
        <v>377697</v>
      </c>
      <c r="BD112" s="153">
        <v>377697</v>
      </c>
      <c r="BE112" s="157">
        <v>450941</v>
      </c>
      <c r="BF112" s="157">
        <v>449709</v>
      </c>
      <c r="BG112" s="157"/>
      <c r="BH112" s="155"/>
      <c r="BI112" s="152">
        <v>324651</v>
      </c>
      <c r="BJ112" s="153">
        <v>334667</v>
      </c>
      <c r="BK112" s="153">
        <v>392995</v>
      </c>
      <c r="BL112" s="153">
        <v>447213</v>
      </c>
      <c r="BM112" s="153">
        <v>436846</v>
      </c>
      <c r="BN112" s="154">
        <f>SUMIF(BI112:BM112,"&gt;0",BI112:BM112)</f>
        <v>1936372</v>
      </c>
      <c r="BO112" s="156"/>
      <c r="BP112" s="148"/>
      <c r="BQ112" s="153"/>
      <c r="BR112" s="153"/>
      <c r="BS112" s="152"/>
      <c r="BT112" s="148"/>
      <c r="BU112" s="148"/>
      <c r="BV112" s="148"/>
      <c r="BW112" s="148"/>
      <c r="BX112" s="154">
        <f>SUM(BS112:BW112)</f>
        <v>0</v>
      </c>
      <c r="BY112" s="143"/>
      <c r="BZ112" s="143"/>
      <c r="CA112" s="143"/>
      <c r="CB112" s="143"/>
      <c r="CC112" s="143"/>
      <c r="CD112" s="259"/>
    </row>
    <row r="113" spans="1:82" ht="14.5">
      <c r="A113" s="143" t="s">
        <v>388</v>
      </c>
      <c r="B113" s="173" t="s">
        <v>2087</v>
      </c>
      <c r="C113" s="144" t="s">
        <v>679</v>
      </c>
      <c r="D113" s="144" t="s">
        <v>1212</v>
      </c>
      <c r="E113" s="145" t="s">
        <v>680</v>
      </c>
      <c r="F113" s="143" t="str">
        <f>SUBSTITUTE(E113," ","")</f>
        <v>52103096340</v>
      </c>
      <c r="G113" s="143" t="s">
        <v>1345</v>
      </c>
      <c r="H113" s="143" t="s">
        <v>81</v>
      </c>
      <c r="I113" s="143">
        <v>6722</v>
      </c>
      <c r="J113" s="143">
        <v>-20.512574999999998</v>
      </c>
      <c r="K113" s="143">
        <v>118.5882479</v>
      </c>
      <c r="L113" s="143" t="s">
        <v>292</v>
      </c>
      <c r="M113" s="143" t="s">
        <v>292</v>
      </c>
      <c r="N113" s="143" t="s">
        <v>292</v>
      </c>
      <c r="O113" s="143"/>
      <c r="P113" s="143"/>
      <c r="Q113" s="143" t="s">
        <v>278</v>
      </c>
      <c r="R113" s="143" t="s">
        <v>79</v>
      </c>
      <c r="S113" s="147"/>
      <c r="T113" s="143"/>
      <c r="U113" s="143"/>
      <c r="V113" s="143"/>
      <c r="W113" s="143"/>
      <c r="X113" s="143"/>
      <c r="Y113" s="143"/>
      <c r="Z113" s="143"/>
      <c r="AA113" s="143"/>
      <c r="AB113" s="143"/>
      <c r="AC113" s="143"/>
      <c r="AD113" s="153"/>
      <c r="AE113" s="153"/>
      <c r="AF113" s="143"/>
      <c r="AG113" s="155"/>
      <c r="AH113" s="147" t="s">
        <v>48</v>
      </c>
      <c r="AI113" s="151" t="s">
        <v>76</v>
      </c>
      <c r="AJ113" s="146"/>
      <c r="AK113" s="146" t="s">
        <v>70</v>
      </c>
      <c r="AL113" s="151" t="s">
        <v>118</v>
      </c>
      <c r="AM113" s="143"/>
      <c r="AN113" s="143"/>
      <c r="AO113" s="143"/>
      <c r="AP113" s="152" t="s">
        <v>26</v>
      </c>
      <c r="AQ113" s="153" t="s">
        <v>26</v>
      </c>
      <c r="AR113" s="160" t="str">
        <f>IF(BF113&gt;(BB113*1.1),"yes","no")</f>
        <v>yes</v>
      </c>
      <c r="AS113" s="160" t="str">
        <f>IF(BM113&gt;(BJ113*1.1),"yes","no")</f>
        <v>yes</v>
      </c>
      <c r="AT113" s="160" t="str">
        <f>IF(BM113&gt;(BI113*1.1),"yes","no")</f>
        <v>yes</v>
      </c>
      <c r="AU113" s="154">
        <v>1470</v>
      </c>
      <c r="AV113" s="153" t="s">
        <v>52</v>
      </c>
      <c r="AW113" s="153" t="s">
        <v>52</v>
      </c>
      <c r="AX113" s="153" t="s">
        <v>52</v>
      </c>
      <c r="AY113" s="153" t="s">
        <v>98</v>
      </c>
      <c r="AZ113" s="153" t="s">
        <v>98</v>
      </c>
      <c r="BA113" s="154" t="s">
        <v>98</v>
      </c>
      <c r="BB113" s="152">
        <v>191512</v>
      </c>
      <c r="BC113" s="153">
        <v>191512</v>
      </c>
      <c r="BD113" s="153">
        <v>191512</v>
      </c>
      <c r="BE113" s="157">
        <v>271761</v>
      </c>
      <c r="BF113" s="157">
        <v>279793</v>
      </c>
      <c r="BG113" s="157"/>
      <c r="BH113" s="155" t="s">
        <v>1346</v>
      </c>
      <c r="BI113" s="152">
        <v>193041</v>
      </c>
      <c r="BJ113" s="153">
        <v>191407</v>
      </c>
      <c r="BK113" s="153">
        <v>191558</v>
      </c>
      <c r="BL113" s="153">
        <v>237434</v>
      </c>
      <c r="BM113" s="153">
        <v>285206</v>
      </c>
      <c r="BN113" s="154">
        <f>SUMIF(BI113:BM113,"&gt;0",BI113:BM113)</f>
        <v>1098646</v>
      </c>
      <c r="BO113" s="156"/>
      <c r="BP113" s="148"/>
      <c r="BQ113" s="153"/>
      <c r="BR113" s="153"/>
      <c r="BS113" s="152"/>
      <c r="BT113" s="148"/>
      <c r="BU113" s="148"/>
      <c r="BV113" s="148"/>
      <c r="BW113" s="148"/>
      <c r="BX113" s="154">
        <f>SUM(BS113:BW113)</f>
        <v>0</v>
      </c>
      <c r="BY113" s="143"/>
      <c r="BZ113" s="143"/>
      <c r="CA113" s="143"/>
      <c r="CB113" s="143"/>
      <c r="CC113" s="143"/>
      <c r="CD113" s="259"/>
    </row>
    <row r="114" spans="1:82" ht="14.5">
      <c r="A114" s="143" t="s">
        <v>375</v>
      </c>
      <c r="B114" s="143"/>
      <c r="C114" s="144"/>
      <c r="D114" s="144" t="s">
        <v>1212</v>
      </c>
      <c r="E114" s="145" t="s">
        <v>670</v>
      </c>
      <c r="F114" s="143" t="str">
        <f>SUBSTITUTE(E114," ","")</f>
        <v>95128959179</v>
      </c>
      <c r="G114" s="143" t="s">
        <v>1297</v>
      </c>
      <c r="H114" s="143" t="s">
        <v>81</v>
      </c>
      <c r="I114" s="143">
        <v>6716</v>
      </c>
      <c r="J114" s="143">
        <v>-22.479828000000001</v>
      </c>
      <c r="K114" s="143">
        <v>116.827535</v>
      </c>
      <c r="L114" s="143" t="s">
        <v>292</v>
      </c>
      <c r="M114" s="143" t="s">
        <v>292</v>
      </c>
      <c r="N114" s="143" t="s">
        <v>292</v>
      </c>
      <c r="O114" s="143"/>
      <c r="P114" s="143"/>
      <c r="Q114" s="143" t="s">
        <v>125</v>
      </c>
      <c r="R114" s="143" t="s">
        <v>65</v>
      </c>
      <c r="S114" s="147"/>
      <c r="T114" s="143"/>
      <c r="U114" s="143"/>
      <c r="V114" s="143"/>
      <c r="W114" s="143"/>
      <c r="X114" s="143"/>
      <c r="Y114" s="143"/>
      <c r="Z114" s="143"/>
      <c r="AA114" s="143"/>
      <c r="AB114" s="143"/>
      <c r="AC114" s="143"/>
      <c r="AD114" s="153"/>
      <c r="AE114" s="153"/>
      <c r="AF114" s="143"/>
      <c r="AG114" s="155"/>
      <c r="AH114" s="150" t="s">
        <v>37</v>
      </c>
      <c r="AI114" s="151" t="s">
        <v>76</v>
      </c>
      <c r="AJ114" s="151" t="s">
        <v>70</v>
      </c>
      <c r="AK114" s="151" t="s">
        <v>70</v>
      </c>
      <c r="AL114" s="151" t="s">
        <v>118</v>
      </c>
      <c r="AM114" s="151" t="s">
        <v>70</v>
      </c>
      <c r="AN114" s="151" t="s">
        <v>70</v>
      </c>
      <c r="AO114" s="151" t="s">
        <v>70</v>
      </c>
      <c r="AP114" s="152"/>
      <c r="AQ114" s="153"/>
      <c r="AR114" s="153"/>
      <c r="AS114" s="153"/>
      <c r="AT114" s="153"/>
      <c r="AU114" s="154"/>
      <c r="AV114" s="153" t="s">
        <v>114</v>
      </c>
      <c r="AW114" s="153" t="s">
        <v>114</v>
      </c>
      <c r="AX114" s="153" t="s">
        <v>114</v>
      </c>
      <c r="AY114" s="153" t="s">
        <v>114</v>
      </c>
      <c r="AZ114" s="153" t="s">
        <v>73</v>
      </c>
      <c r="BA114" s="154" t="s">
        <v>73</v>
      </c>
      <c r="BB114" s="152" t="s">
        <v>114</v>
      </c>
      <c r="BC114" s="153" t="s">
        <v>114</v>
      </c>
      <c r="BD114" s="153" t="s">
        <v>114</v>
      </c>
      <c r="BE114" s="153" t="s">
        <v>114</v>
      </c>
      <c r="BF114" s="157">
        <v>199022</v>
      </c>
      <c r="BG114" s="157"/>
      <c r="BH114" s="155" t="s">
        <v>1298</v>
      </c>
      <c r="BI114" s="152" t="s">
        <v>920</v>
      </c>
      <c r="BJ114" s="153" t="s">
        <v>920</v>
      </c>
      <c r="BK114" s="153" t="s">
        <v>920</v>
      </c>
      <c r="BL114" s="153" t="s">
        <v>920</v>
      </c>
      <c r="BM114" s="153" t="s">
        <v>920</v>
      </c>
      <c r="BN114" s="154">
        <f>SUMIF(BI114:BM114,"&gt;0",BI114:BM114)</f>
        <v>0</v>
      </c>
      <c r="BO114" s="156"/>
      <c r="BP114" s="148"/>
      <c r="BQ114" s="153"/>
      <c r="BR114" s="153"/>
      <c r="BS114" s="152"/>
      <c r="BT114" s="148"/>
      <c r="BU114" s="148"/>
      <c r="BV114" s="148"/>
      <c r="BW114" s="148"/>
      <c r="BX114" s="154">
        <f>SUM(BS114:BW114)</f>
        <v>0</v>
      </c>
      <c r="BY114" s="143"/>
      <c r="BZ114" s="143"/>
      <c r="CA114" s="143"/>
      <c r="CB114" s="143"/>
      <c r="CC114" s="143"/>
      <c r="CD114" s="259"/>
    </row>
    <row r="115" spans="1:82" ht="14.5">
      <c r="A115" s="143" t="s">
        <v>432</v>
      </c>
      <c r="B115" s="143" t="s">
        <v>1502</v>
      </c>
      <c r="C115" s="144" t="s">
        <v>722</v>
      </c>
      <c r="D115" s="144" t="s">
        <v>890</v>
      </c>
      <c r="E115" s="145" t="s">
        <v>723</v>
      </c>
      <c r="F115" s="143" t="str">
        <f>SUBSTITUTE(E115," ","")</f>
        <v>42004651325</v>
      </c>
      <c r="G115" s="143" t="s">
        <v>1503</v>
      </c>
      <c r="H115" s="143" t="s">
        <v>60</v>
      </c>
      <c r="I115" s="143">
        <v>5600</v>
      </c>
      <c r="J115" s="143">
        <v>-33.009655000000002</v>
      </c>
      <c r="K115" s="143">
        <v>137.58551299999999</v>
      </c>
      <c r="L115" s="143">
        <v>1941</v>
      </c>
      <c r="M115" s="143">
        <v>81</v>
      </c>
      <c r="N115" s="143">
        <v>0</v>
      </c>
      <c r="O115" s="143"/>
      <c r="P115" s="143"/>
      <c r="Q115" s="143" t="s">
        <v>131</v>
      </c>
      <c r="R115" s="143" t="s">
        <v>65</v>
      </c>
      <c r="S115" s="147"/>
      <c r="T115" s="143"/>
      <c r="U115" s="143"/>
      <c r="V115" s="143"/>
      <c r="W115" s="143"/>
      <c r="X115" s="143"/>
      <c r="Y115" s="143"/>
      <c r="Z115" s="143"/>
      <c r="AA115" s="143"/>
      <c r="AB115" s="143"/>
      <c r="AC115" s="143"/>
      <c r="AD115" s="153"/>
      <c r="AE115" s="153"/>
      <c r="AF115" s="143"/>
      <c r="AG115" s="155"/>
      <c r="AH115" s="150" t="s">
        <v>37</v>
      </c>
      <c r="AI115" s="151" t="s">
        <v>76</v>
      </c>
      <c r="AJ115" s="151" t="s">
        <v>70</v>
      </c>
      <c r="AK115" s="151" t="s">
        <v>70</v>
      </c>
      <c r="AL115" s="151" t="s">
        <v>118</v>
      </c>
      <c r="AM115" s="151" t="s">
        <v>70</v>
      </c>
      <c r="AN115" s="151" t="s">
        <v>70</v>
      </c>
      <c r="AO115" s="151" t="s">
        <v>70</v>
      </c>
      <c r="AP115" s="152"/>
      <c r="AQ115" s="153"/>
      <c r="AR115" s="153"/>
      <c r="AS115" s="153"/>
      <c r="AT115" s="153"/>
      <c r="AU115" s="154"/>
      <c r="AV115" s="153" t="s">
        <v>106</v>
      </c>
      <c r="AW115" s="153" t="s">
        <v>106</v>
      </c>
      <c r="AX115" s="153" t="s">
        <v>106</v>
      </c>
      <c r="AY115" s="153" t="s">
        <v>73</v>
      </c>
      <c r="AZ115" s="153" t="s">
        <v>73</v>
      </c>
      <c r="BA115" s="154" t="s">
        <v>73</v>
      </c>
      <c r="BB115" s="152">
        <v>2536933</v>
      </c>
      <c r="BC115" s="153">
        <v>2536933</v>
      </c>
      <c r="BD115" s="153">
        <v>2536933</v>
      </c>
      <c r="BE115" s="157">
        <v>2690509</v>
      </c>
      <c r="BF115" s="157">
        <v>2690509</v>
      </c>
      <c r="BG115" s="157"/>
      <c r="BH115" s="155"/>
      <c r="BI115" s="152">
        <v>2401348</v>
      </c>
      <c r="BJ115" s="153">
        <v>2458337</v>
      </c>
      <c r="BK115" s="153">
        <v>2466570</v>
      </c>
      <c r="BL115" s="153">
        <v>2315546</v>
      </c>
      <c r="BM115" s="153">
        <v>2346007</v>
      </c>
      <c r="BN115" s="154">
        <f>SUMIF(BI115:BM115,"&gt;0",BI115:BM115)</f>
        <v>11987808</v>
      </c>
      <c r="BO115" s="156"/>
      <c r="BP115" s="148"/>
      <c r="BQ115" s="153"/>
      <c r="BR115" s="153"/>
      <c r="BS115" s="152"/>
      <c r="BT115" s="148"/>
      <c r="BU115" s="148"/>
      <c r="BV115" s="148"/>
      <c r="BW115" s="148"/>
      <c r="BX115" s="154">
        <f>SUM(BS115:BW115)</f>
        <v>0</v>
      </c>
      <c r="BY115" s="143"/>
      <c r="BZ115" s="143"/>
      <c r="CA115" s="143"/>
      <c r="CB115" s="143"/>
      <c r="CC115" s="143"/>
      <c r="CD115" s="259"/>
    </row>
    <row r="116" spans="1:82" ht="14.5">
      <c r="A116" s="143" t="s">
        <v>546</v>
      </c>
      <c r="B116" s="143" t="s">
        <v>609</v>
      </c>
      <c r="C116" s="144" t="s">
        <v>1882</v>
      </c>
      <c r="D116" s="144" t="s">
        <v>890</v>
      </c>
      <c r="E116" s="145" t="s">
        <v>812</v>
      </c>
      <c r="F116" s="143" t="str">
        <f>SUBSTITUTE(E116," ","")</f>
        <v>97076663968</v>
      </c>
      <c r="G116" s="143" t="s">
        <v>1883</v>
      </c>
      <c r="H116" s="143" t="s">
        <v>31</v>
      </c>
      <c r="I116" s="143">
        <v>2574</v>
      </c>
      <c r="J116" s="143">
        <v>-34.249129000000003</v>
      </c>
      <c r="K116" s="143">
        <v>150.577068</v>
      </c>
      <c r="L116" s="143">
        <v>1979</v>
      </c>
      <c r="M116" s="143">
        <v>43</v>
      </c>
      <c r="N116" s="143">
        <v>2032</v>
      </c>
      <c r="O116" s="143"/>
      <c r="P116" s="143"/>
      <c r="Q116" s="143" t="s">
        <v>29</v>
      </c>
      <c r="R116" s="143" t="s">
        <v>29</v>
      </c>
      <c r="S116" s="147" t="s">
        <v>612</v>
      </c>
      <c r="T116" s="143">
        <v>1</v>
      </c>
      <c r="U116" s="143" t="s">
        <v>1884</v>
      </c>
      <c r="V116" s="143" t="s">
        <v>1885</v>
      </c>
      <c r="W116" s="143" t="s">
        <v>1040</v>
      </c>
      <c r="X116" s="143" t="s">
        <v>1886</v>
      </c>
      <c r="Y116" s="143" t="s">
        <v>1517</v>
      </c>
      <c r="Z116" s="143" t="s">
        <v>1578</v>
      </c>
      <c r="AA116" s="143" t="s">
        <v>1579</v>
      </c>
      <c r="AB116" s="153">
        <v>0</v>
      </c>
      <c r="AC116" s="153" t="s">
        <v>1044</v>
      </c>
      <c r="AD116" s="153"/>
      <c r="AE116" s="153"/>
      <c r="AF116" s="143" t="s">
        <v>1045</v>
      </c>
      <c r="AG116" s="155"/>
      <c r="AH116" s="147" t="s">
        <v>26</v>
      </c>
      <c r="AI116" s="146" t="s">
        <v>56</v>
      </c>
      <c r="AJ116" s="146" t="s">
        <v>1887</v>
      </c>
      <c r="AK116" s="146" t="s">
        <v>33</v>
      </c>
      <c r="AL116" s="146" t="s">
        <v>134</v>
      </c>
      <c r="AM116" s="143" t="s">
        <v>49</v>
      </c>
      <c r="AN116" s="143">
        <v>3.5</v>
      </c>
      <c r="AO116" s="143"/>
      <c r="AP116" s="152"/>
      <c r="AQ116" s="153"/>
      <c r="AR116" s="153"/>
      <c r="AS116" s="153"/>
      <c r="AT116" s="153"/>
      <c r="AU116" s="154"/>
      <c r="AV116" s="153" t="s">
        <v>106</v>
      </c>
      <c r="AW116" s="153" t="s">
        <v>106</v>
      </c>
      <c r="AX116" s="153" t="s">
        <v>106</v>
      </c>
      <c r="AY116" s="153" t="s">
        <v>106</v>
      </c>
      <c r="AZ116" s="153" t="s">
        <v>73</v>
      </c>
      <c r="BA116" s="154" t="s">
        <v>73</v>
      </c>
      <c r="BB116" s="152">
        <v>1543151</v>
      </c>
      <c r="BC116" s="153">
        <v>1543151</v>
      </c>
      <c r="BD116" s="153">
        <v>1543151</v>
      </c>
      <c r="BE116" s="153">
        <v>1543151</v>
      </c>
      <c r="BF116" s="157">
        <v>2008287</v>
      </c>
      <c r="BG116" s="157"/>
      <c r="BH116" s="155" t="s">
        <v>1888</v>
      </c>
      <c r="BI116" s="152">
        <v>1625002</v>
      </c>
      <c r="BJ116" s="153">
        <v>1395857</v>
      </c>
      <c r="BK116" s="153">
        <v>1260004</v>
      </c>
      <c r="BL116" s="153">
        <v>1238774</v>
      </c>
      <c r="BM116" s="153">
        <v>1124934</v>
      </c>
      <c r="BN116" s="154">
        <f>SUMIF(BI116:BM116,"&gt;0",BI116:BM116)</f>
        <v>6644571</v>
      </c>
      <c r="BO116" s="156"/>
      <c r="BP116" s="148"/>
      <c r="BQ116" s="153"/>
      <c r="BR116" s="153"/>
      <c r="BS116" s="152">
        <v>2107326</v>
      </c>
      <c r="BT116" s="148">
        <v>2110328</v>
      </c>
      <c r="BU116" s="148">
        <v>2368128</v>
      </c>
      <c r="BV116" s="148">
        <v>2354901</v>
      </c>
      <c r="BW116" s="148">
        <v>3038295</v>
      </c>
      <c r="BX116" s="154">
        <f>SUM(BS116:BW116)</f>
        <v>11978978</v>
      </c>
      <c r="BY116" s="143">
        <f>BI116/BS116</f>
        <v>0.77112036770770165</v>
      </c>
      <c r="BZ116" s="143">
        <f>BJ116/BT116</f>
        <v>0.66144078076962443</v>
      </c>
      <c r="CA116" s="143">
        <f>BK116/BU116</f>
        <v>0.53206752337711472</v>
      </c>
      <c r="CB116" s="143">
        <f>BL116/BV116</f>
        <v>0.52604079746876831</v>
      </c>
      <c r="CC116" s="143">
        <f>BM116/BW116</f>
        <v>0.37025173658252408</v>
      </c>
      <c r="CD116" s="259">
        <f>AVERAGE(BY116:CC116)</f>
        <v>0.57218424118114664</v>
      </c>
    </row>
    <row r="117" spans="1:82" ht="14.5">
      <c r="A117" s="143" t="s">
        <v>563</v>
      </c>
      <c r="B117" s="143" t="s">
        <v>1946</v>
      </c>
      <c r="C117" s="144" t="s">
        <v>1947</v>
      </c>
      <c r="D117" s="144" t="s">
        <v>890</v>
      </c>
      <c r="E117" s="145" t="s">
        <v>1948</v>
      </c>
      <c r="F117" s="143" t="str">
        <f>SUBSTITUTE(E117," ","")</f>
        <v>23004456035</v>
      </c>
      <c r="G117" s="143" t="s">
        <v>1949</v>
      </c>
      <c r="H117" s="143" t="s">
        <v>67</v>
      </c>
      <c r="I117" s="143">
        <v>7253</v>
      </c>
      <c r="J117" s="143">
        <v>-41.130892000000003</v>
      </c>
      <c r="K117" s="143">
        <v>146.84988100000001</v>
      </c>
      <c r="L117" s="143" t="s">
        <v>292</v>
      </c>
      <c r="M117" s="143" t="s">
        <v>292</v>
      </c>
      <c r="N117" s="143" t="s">
        <v>292</v>
      </c>
      <c r="O117" s="143"/>
      <c r="P117" s="143"/>
      <c r="Q117" s="143" t="s">
        <v>131</v>
      </c>
      <c r="R117" s="143" t="s">
        <v>65</v>
      </c>
      <c r="S117" s="147"/>
      <c r="T117" s="143"/>
      <c r="U117" s="143"/>
      <c r="V117" s="143"/>
      <c r="W117" s="143"/>
      <c r="X117" s="143"/>
      <c r="Y117" s="143"/>
      <c r="Z117" s="143"/>
      <c r="AA117" s="143"/>
      <c r="AB117" s="143"/>
      <c r="AC117" s="143"/>
      <c r="AD117" s="153"/>
      <c r="AE117" s="153"/>
      <c r="AF117" s="143"/>
      <c r="AG117" s="155"/>
      <c r="AH117" s="150" t="s">
        <v>37</v>
      </c>
      <c r="AI117" s="151" t="s">
        <v>76</v>
      </c>
      <c r="AJ117" s="151" t="s">
        <v>70</v>
      </c>
      <c r="AK117" s="151" t="s">
        <v>70</v>
      </c>
      <c r="AL117" s="151" t="s">
        <v>118</v>
      </c>
      <c r="AM117" s="151" t="s">
        <v>70</v>
      </c>
      <c r="AN117" s="151" t="s">
        <v>70</v>
      </c>
      <c r="AO117" s="151" t="s">
        <v>70</v>
      </c>
      <c r="AP117" s="152"/>
      <c r="AQ117" s="153"/>
      <c r="AR117" s="153"/>
      <c r="AS117" s="153"/>
      <c r="AT117" s="153"/>
      <c r="AU117" s="154"/>
      <c r="AV117" s="153" t="s">
        <v>1028</v>
      </c>
      <c r="AW117" s="153" t="s">
        <v>106</v>
      </c>
      <c r="AX117" s="153" t="s">
        <v>106</v>
      </c>
      <c r="AY117" s="153" t="s">
        <v>106</v>
      </c>
      <c r="AZ117" s="153" t="s">
        <v>106</v>
      </c>
      <c r="BA117" s="154" t="s">
        <v>114</v>
      </c>
      <c r="BB117" s="152">
        <v>505063</v>
      </c>
      <c r="BC117" s="153">
        <v>505063</v>
      </c>
      <c r="BD117" s="153">
        <v>505063</v>
      </c>
      <c r="BE117" s="157">
        <v>505063</v>
      </c>
      <c r="BF117" s="157">
        <v>505063</v>
      </c>
      <c r="BG117" s="157"/>
      <c r="BH117" s="259"/>
      <c r="BI117" s="152">
        <v>447185</v>
      </c>
      <c r="BJ117" s="153">
        <v>485529</v>
      </c>
      <c r="BK117" s="153">
        <v>435388</v>
      </c>
      <c r="BL117" s="153">
        <v>301903</v>
      </c>
      <c r="BM117" s="153">
        <v>275453</v>
      </c>
      <c r="BN117" s="154">
        <f>SUMIF(BI117:BM117,"&gt;0",BI117:BM117)</f>
        <v>1945458</v>
      </c>
      <c r="BO117" s="156"/>
      <c r="BP117" s="148"/>
      <c r="BQ117" s="153"/>
      <c r="BR117" s="153"/>
      <c r="BS117" s="152"/>
      <c r="BT117" s="148"/>
      <c r="BU117" s="148"/>
      <c r="BV117" s="148"/>
      <c r="BW117" s="148"/>
      <c r="BX117" s="154">
        <f>SUM(BS117:BW117)</f>
        <v>0</v>
      </c>
      <c r="BY117" s="143"/>
      <c r="BZ117" s="143"/>
      <c r="CA117" s="143"/>
      <c r="CB117" s="143"/>
      <c r="CC117" s="143"/>
      <c r="CD117" s="259"/>
    </row>
    <row r="118" spans="1:82" ht="14.5">
      <c r="A118" s="143" t="s">
        <v>431</v>
      </c>
      <c r="B118" s="143" t="s">
        <v>1497</v>
      </c>
      <c r="C118" s="144" t="s">
        <v>1498</v>
      </c>
      <c r="D118" s="144" t="s">
        <v>890</v>
      </c>
      <c r="E118" s="145">
        <v>89069426955</v>
      </c>
      <c r="F118" s="143" t="s">
        <v>1499</v>
      </c>
      <c r="G118" s="143" t="s">
        <v>1500</v>
      </c>
      <c r="H118" s="143" t="s">
        <v>74</v>
      </c>
      <c r="I118" s="143">
        <v>3026</v>
      </c>
      <c r="J118" s="143">
        <v>-37.829630999999999</v>
      </c>
      <c r="K118" s="143">
        <v>144.78890799999999</v>
      </c>
      <c r="L118" s="143" t="s">
        <v>292</v>
      </c>
      <c r="M118" s="143" t="s">
        <v>292</v>
      </c>
      <c r="N118" s="143">
        <v>0</v>
      </c>
      <c r="O118" s="143"/>
      <c r="P118" s="143"/>
      <c r="Q118" s="143" t="s">
        <v>127</v>
      </c>
      <c r="R118" s="143" t="s">
        <v>65</v>
      </c>
      <c r="S118" s="147"/>
      <c r="T118" s="143"/>
      <c r="U118" s="143"/>
      <c r="V118" s="143"/>
      <c r="W118" s="143"/>
      <c r="X118" s="143"/>
      <c r="Y118" s="143"/>
      <c r="Z118" s="143"/>
      <c r="AA118" s="143"/>
      <c r="AB118" s="143"/>
      <c r="AC118" s="143"/>
      <c r="AD118" s="153"/>
      <c r="AE118" s="153"/>
      <c r="AF118" s="143"/>
      <c r="AG118" s="155"/>
      <c r="AH118" s="150" t="s">
        <v>37</v>
      </c>
      <c r="AI118" s="151" t="s">
        <v>76</v>
      </c>
      <c r="AJ118" s="151" t="s">
        <v>70</v>
      </c>
      <c r="AK118" s="151" t="s">
        <v>70</v>
      </c>
      <c r="AL118" s="151" t="s">
        <v>118</v>
      </c>
      <c r="AM118" s="151" t="s">
        <v>70</v>
      </c>
      <c r="AN118" s="151" t="s">
        <v>70</v>
      </c>
      <c r="AO118" s="151" t="s">
        <v>70</v>
      </c>
      <c r="AP118" s="152" t="s">
        <v>26</v>
      </c>
      <c r="AQ118" s="153" t="s">
        <v>26</v>
      </c>
      <c r="AR118" s="160" t="str">
        <f>IF(BF118&gt;(BC118*1.1),"yes","no")</f>
        <v>yes</v>
      </c>
      <c r="AS118" s="160" t="str">
        <f>IF(BM118&gt;(BJ118*1.1),"yes","no")</f>
        <v>no</v>
      </c>
      <c r="AT118" s="160" t="str">
        <f>IF(BM118&gt;(BJ118*1.1),"yes","no")</f>
        <v>no</v>
      </c>
      <c r="AU118" s="154">
        <v>0</v>
      </c>
      <c r="AV118" s="153" t="s">
        <v>114</v>
      </c>
      <c r="AW118" s="148" t="s">
        <v>89</v>
      </c>
      <c r="AX118" s="153" t="s">
        <v>80</v>
      </c>
      <c r="AY118" s="153" t="s">
        <v>73</v>
      </c>
      <c r="AZ118" s="153" t="s">
        <v>80</v>
      </c>
      <c r="BA118" s="154" t="s">
        <v>114</v>
      </c>
      <c r="BB118" s="152" t="s">
        <v>114</v>
      </c>
      <c r="BC118" s="153">
        <v>100</v>
      </c>
      <c r="BD118" s="153">
        <v>126431</v>
      </c>
      <c r="BE118" s="157">
        <v>126431</v>
      </c>
      <c r="BF118" s="157">
        <v>126431</v>
      </c>
      <c r="BG118" s="157"/>
      <c r="BH118" s="155" t="s">
        <v>1501</v>
      </c>
      <c r="BI118" s="152" t="s">
        <v>920</v>
      </c>
      <c r="BJ118" s="153">
        <v>110812</v>
      </c>
      <c r="BK118" s="153">
        <v>113575</v>
      </c>
      <c r="BL118" s="153" t="s">
        <v>920</v>
      </c>
      <c r="BM118" s="153">
        <v>113227</v>
      </c>
      <c r="BN118" s="154">
        <f>SUMIF(BI118:BM118,"&gt;0",BI118:BM118)</f>
        <v>337614</v>
      </c>
      <c r="BO118" s="156"/>
      <c r="BP118" s="148"/>
      <c r="BQ118" s="153"/>
      <c r="BR118" s="153"/>
      <c r="BS118" s="152"/>
      <c r="BT118" s="148"/>
      <c r="BU118" s="148"/>
      <c r="BV118" s="148"/>
      <c r="BW118" s="148"/>
      <c r="BX118" s="154">
        <f>SUM(BS118:BW118)</f>
        <v>0</v>
      </c>
      <c r="BY118" s="143"/>
      <c r="BZ118" s="143"/>
      <c r="CA118" s="143"/>
      <c r="CB118" s="143"/>
      <c r="CC118" s="143"/>
      <c r="CD118" s="143"/>
    </row>
    <row r="119" spans="1:82" ht="14.5">
      <c r="A119" s="143" t="s">
        <v>545</v>
      </c>
      <c r="B119" s="143" t="s">
        <v>1881</v>
      </c>
      <c r="C119" s="144" t="s">
        <v>722</v>
      </c>
      <c r="D119" s="144" t="s">
        <v>890</v>
      </c>
      <c r="E119" s="145" t="s">
        <v>723</v>
      </c>
      <c r="F119" s="143" t="str">
        <f>SUBSTITUTE(E119," ","")</f>
        <v>42004651325</v>
      </c>
      <c r="G119" s="143" t="s">
        <v>1503</v>
      </c>
      <c r="H119" s="143" t="s">
        <v>60</v>
      </c>
      <c r="I119" s="143">
        <v>5600</v>
      </c>
      <c r="J119" s="143">
        <v>-33.240215999999997</v>
      </c>
      <c r="K119" s="143">
        <v>137.10663199999999</v>
      </c>
      <c r="L119" s="143" t="s">
        <v>292</v>
      </c>
      <c r="M119" s="143" t="s">
        <v>292</v>
      </c>
      <c r="N119" s="143" t="s">
        <v>292</v>
      </c>
      <c r="O119" s="143"/>
      <c r="P119" s="143"/>
      <c r="Q119" s="143" t="s">
        <v>125</v>
      </c>
      <c r="R119" s="143" t="s">
        <v>65</v>
      </c>
      <c r="S119" s="147"/>
      <c r="T119" s="143"/>
      <c r="U119" s="143"/>
      <c r="V119" s="143"/>
      <c r="W119" s="143"/>
      <c r="X119" s="143"/>
      <c r="Y119" s="143"/>
      <c r="Z119" s="143"/>
      <c r="AA119" s="143"/>
      <c r="AB119" s="143"/>
      <c r="AC119" s="143"/>
      <c r="AD119" s="153"/>
      <c r="AE119" s="153"/>
      <c r="AF119" s="143"/>
      <c r="AG119" s="155"/>
      <c r="AH119" s="150" t="s">
        <v>37</v>
      </c>
      <c r="AI119" s="151" t="s">
        <v>76</v>
      </c>
      <c r="AJ119" s="151" t="s">
        <v>70</v>
      </c>
      <c r="AK119" s="151" t="s">
        <v>70</v>
      </c>
      <c r="AL119" s="151" t="s">
        <v>118</v>
      </c>
      <c r="AM119" s="151" t="s">
        <v>70</v>
      </c>
      <c r="AN119" s="151" t="s">
        <v>70</v>
      </c>
      <c r="AO119" s="151" t="s">
        <v>70</v>
      </c>
      <c r="AP119" s="152"/>
      <c r="AQ119" s="153"/>
      <c r="AR119" s="153"/>
      <c r="AS119" s="153"/>
      <c r="AT119" s="153"/>
      <c r="AU119" s="154"/>
      <c r="AV119" s="153" t="s">
        <v>106</v>
      </c>
      <c r="AW119" s="153" t="s">
        <v>106</v>
      </c>
      <c r="AX119" s="153" t="s">
        <v>106</v>
      </c>
      <c r="AY119" s="153" t="s">
        <v>106</v>
      </c>
      <c r="AZ119" s="153" t="s">
        <v>106</v>
      </c>
      <c r="BA119" s="154" t="s">
        <v>114</v>
      </c>
      <c r="BB119" s="152">
        <v>121547</v>
      </c>
      <c r="BC119" s="153">
        <v>121547</v>
      </c>
      <c r="BD119" s="153">
        <v>121547</v>
      </c>
      <c r="BE119" s="157">
        <v>121547</v>
      </c>
      <c r="BF119" s="157">
        <v>121547</v>
      </c>
      <c r="BG119" s="157"/>
      <c r="BH119" s="155"/>
      <c r="BI119" s="152" t="s">
        <v>920</v>
      </c>
      <c r="BJ119" s="153" t="s">
        <v>920</v>
      </c>
      <c r="BK119" s="153" t="s">
        <v>920</v>
      </c>
      <c r="BL119" s="153">
        <v>110289</v>
      </c>
      <c r="BM119" s="153">
        <v>101894</v>
      </c>
      <c r="BN119" s="154">
        <f>SUMIF(BI119:BM119,"&gt;0",BI119:BM119)</f>
        <v>212183</v>
      </c>
      <c r="BO119" s="156"/>
      <c r="BP119" s="148"/>
      <c r="BQ119" s="153"/>
      <c r="BR119" s="153"/>
      <c r="BS119" s="152"/>
      <c r="BT119" s="148"/>
      <c r="BU119" s="148"/>
      <c r="BV119" s="148"/>
      <c r="BW119" s="148"/>
      <c r="BX119" s="154">
        <f>SUM(BS119:BW119)</f>
        <v>0</v>
      </c>
      <c r="BY119" s="143"/>
      <c r="BZ119" s="143"/>
      <c r="CA119" s="143"/>
      <c r="CB119" s="143"/>
      <c r="CC119" s="143"/>
      <c r="CD119" s="143"/>
    </row>
    <row r="120" spans="1:82" ht="14.5">
      <c r="A120" s="143" t="s">
        <v>433</v>
      </c>
      <c r="B120" s="143" t="s">
        <v>1504</v>
      </c>
      <c r="C120" s="144" t="s">
        <v>1505</v>
      </c>
      <c r="D120" s="144" t="s">
        <v>890</v>
      </c>
      <c r="E120" s="145" t="s">
        <v>1506</v>
      </c>
      <c r="F120" s="143" t="str">
        <f>SUBSTITUTE(E120," ","")</f>
        <v>89069426955</v>
      </c>
      <c r="G120" s="143" t="s">
        <v>1500</v>
      </c>
      <c r="H120" s="143" t="s">
        <v>74</v>
      </c>
      <c r="I120" s="143">
        <v>3026</v>
      </c>
      <c r="J120" s="143">
        <v>-37.829630999999999</v>
      </c>
      <c r="K120" s="143">
        <v>144.78890799999999</v>
      </c>
      <c r="L120" s="143" t="s">
        <v>292</v>
      </c>
      <c r="M120" s="143" t="s">
        <v>292</v>
      </c>
      <c r="N120" s="143" t="s">
        <v>292</v>
      </c>
      <c r="O120" s="143"/>
      <c r="P120" s="143"/>
      <c r="Q120" s="143" t="s">
        <v>127</v>
      </c>
      <c r="R120" s="143" t="s">
        <v>65</v>
      </c>
      <c r="S120" s="147"/>
      <c r="T120" s="143"/>
      <c r="U120" s="143"/>
      <c r="V120" s="143"/>
      <c r="W120" s="143"/>
      <c r="X120" s="143"/>
      <c r="Y120" s="143"/>
      <c r="Z120" s="143"/>
      <c r="AA120" s="143"/>
      <c r="AB120" s="143"/>
      <c r="AC120" s="143"/>
      <c r="AD120" s="153"/>
      <c r="AE120" s="153"/>
      <c r="AF120" s="143"/>
      <c r="AG120" s="155"/>
      <c r="AH120" s="150" t="s">
        <v>37</v>
      </c>
      <c r="AI120" s="151" t="s">
        <v>76</v>
      </c>
      <c r="AJ120" s="151" t="s">
        <v>70</v>
      </c>
      <c r="AK120" s="151" t="s">
        <v>70</v>
      </c>
      <c r="AL120" s="151" t="s">
        <v>118</v>
      </c>
      <c r="AM120" s="151" t="s">
        <v>70</v>
      </c>
      <c r="AN120" s="151" t="s">
        <v>70</v>
      </c>
      <c r="AO120" s="151" t="s">
        <v>70</v>
      </c>
      <c r="AP120" s="152" t="s">
        <v>26</v>
      </c>
      <c r="AQ120" s="153" t="s">
        <v>26</v>
      </c>
      <c r="AR120" s="160" t="str">
        <f>IF(BF120&gt;(BC120*1.1),"yes","no")</f>
        <v>yes</v>
      </c>
      <c r="AS120" s="148" t="s">
        <v>1094</v>
      </c>
      <c r="AT120" s="148" t="s">
        <v>1094</v>
      </c>
      <c r="AU120" s="154">
        <v>0</v>
      </c>
      <c r="AV120" s="153" t="s">
        <v>114</v>
      </c>
      <c r="AW120" s="153" t="s">
        <v>89</v>
      </c>
      <c r="AX120" s="153" t="s">
        <v>80</v>
      </c>
      <c r="AY120" s="153" t="s">
        <v>80</v>
      </c>
      <c r="AZ120" s="153" t="s">
        <v>80</v>
      </c>
      <c r="BA120" s="154" t="s">
        <v>114</v>
      </c>
      <c r="BB120" s="152" t="s">
        <v>114</v>
      </c>
      <c r="BC120" s="153">
        <v>100</v>
      </c>
      <c r="BD120" s="153">
        <v>126431</v>
      </c>
      <c r="BE120" s="157">
        <v>126431</v>
      </c>
      <c r="BF120" s="157">
        <v>126431</v>
      </c>
      <c r="BG120" s="157"/>
      <c r="BH120" s="155" t="s">
        <v>1507</v>
      </c>
      <c r="BI120" s="152" t="s">
        <v>920</v>
      </c>
      <c r="BJ120" s="153" t="s">
        <v>920</v>
      </c>
      <c r="BK120" s="153" t="s">
        <v>920</v>
      </c>
      <c r="BL120" s="153">
        <v>109012</v>
      </c>
      <c r="BM120" s="153" t="s">
        <v>920</v>
      </c>
      <c r="BN120" s="154">
        <f>SUMIF(BI120:BM120,"&gt;0",BI120:BM120)</f>
        <v>109012</v>
      </c>
      <c r="BO120" s="156"/>
      <c r="BP120" s="148"/>
      <c r="BQ120" s="153"/>
      <c r="BR120" s="153"/>
      <c r="BS120" s="152"/>
      <c r="BT120" s="148"/>
      <c r="BU120" s="148"/>
      <c r="BV120" s="148"/>
      <c r="BW120" s="148"/>
      <c r="BX120" s="154">
        <f>SUM(BS120:BW120)</f>
        <v>0</v>
      </c>
      <c r="BY120" s="143"/>
      <c r="BZ120" s="143"/>
      <c r="CA120" s="143"/>
      <c r="CB120" s="143"/>
      <c r="CC120" s="143"/>
      <c r="CD120" s="143"/>
    </row>
    <row r="121" spans="1:82" ht="14.5">
      <c r="A121" s="143" t="s">
        <v>396</v>
      </c>
      <c r="B121" s="143"/>
      <c r="C121" s="144" t="s">
        <v>746</v>
      </c>
      <c r="D121" s="144" t="s">
        <v>1225</v>
      </c>
      <c r="E121" s="145" t="s">
        <v>747</v>
      </c>
      <c r="F121" s="143" t="str">
        <f>SUBSTITUTE(E121," ","")</f>
        <v>83003827361</v>
      </c>
      <c r="G121" s="173" t="s">
        <v>1487</v>
      </c>
      <c r="H121" s="173" t="s">
        <v>31</v>
      </c>
      <c r="I121" s="143">
        <v>2330</v>
      </c>
      <c r="J121" s="143" t="s">
        <v>292</v>
      </c>
      <c r="K121" s="143" t="s">
        <v>292</v>
      </c>
      <c r="L121" s="143" t="s">
        <v>292</v>
      </c>
      <c r="M121" s="143" t="s">
        <v>292</v>
      </c>
      <c r="N121" s="143" t="s">
        <v>292</v>
      </c>
      <c r="O121" s="143" t="s">
        <v>23</v>
      </c>
      <c r="P121" s="143"/>
      <c r="Q121" s="143" t="s">
        <v>29</v>
      </c>
      <c r="R121" s="143" t="s">
        <v>29</v>
      </c>
      <c r="S121" s="147"/>
      <c r="T121" s="143"/>
      <c r="U121" s="143"/>
      <c r="V121" s="143"/>
      <c r="W121" s="143"/>
      <c r="X121" s="143"/>
      <c r="Y121" s="143"/>
      <c r="Z121" s="143"/>
      <c r="AA121" s="143"/>
      <c r="AB121" s="143"/>
      <c r="AC121" s="143"/>
      <c r="AD121" s="153"/>
      <c r="AE121" s="153"/>
      <c r="AF121" s="143"/>
      <c r="AG121" s="155"/>
      <c r="AH121" s="147" t="s">
        <v>26</v>
      </c>
      <c r="AI121" s="151" t="s">
        <v>76</v>
      </c>
      <c r="AJ121" s="146"/>
      <c r="AK121" s="146" t="s">
        <v>21</v>
      </c>
      <c r="AL121" s="146" t="s">
        <v>134</v>
      </c>
      <c r="AM121" s="143"/>
      <c r="AN121" s="143"/>
      <c r="AO121" s="143"/>
      <c r="AP121" s="152"/>
      <c r="AQ121" s="153"/>
      <c r="AR121" s="153"/>
      <c r="AS121" s="153"/>
      <c r="AT121" s="153"/>
      <c r="AU121" s="154"/>
      <c r="AV121" s="153" t="s">
        <v>106</v>
      </c>
      <c r="AW121" s="153" t="s">
        <v>106</v>
      </c>
      <c r="AX121" s="153" t="s">
        <v>106</v>
      </c>
      <c r="AY121" s="153" t="s">
        <v>114</v>
      </c>
      <c r="AZ121" s="153" t="s">
        <v>114</v>
      </c>
      <c r="BA121" s="154" t="s">
        <v>114</v>
      </c>
      <c r="BB121" s="152">
        <v>448015</v>
      </c>
      <c r="BC121" s="153">
        <v>448015</v>
      </c>
      <c r="BD121" s="153">
        <v>448015</v>
      </c>
      <c r="BE121" s="153" t="s">
        <v>117</v>
      </c>
      <c r="BF121" s="153" t="s">
        <v>117</v>
      </c>
      <c r="BG121" s="157"/>
      <c r="BH121" s="154" t="s">
        <v>1360</v>
      </c>
      <c r="BI121" s="152" t="s">
        <v>117</v>
      </c>
      <c r="BJ121" s="153" t="s">
        <v>117</v>
      </c>
      <c r="BK121" s="153" t="s">
        <v>117</v>
      </c>
      <c r="BL121" s="153" t="s">
        <v>117</v>
      </c>
      <c r="BM121" s="153" t="s">
        <v>117</v>
      </c>
      <c r="BN121" s="154" t="s">
        <v>117</v>
      </c>
      <c r="BO121" s="156"/>
      <c r="BP121" s="148"/>
      <c r="BQ121" s="153"/>
      <c r="BR121" s="153"/>
      <c r="BS121" s="158">
        <v>3960000</v>
      </c>
      <c r="BT121" s="165">
        <v>4010000</v>
      </c>
      <c r="BU121" s="165">
        <v>4240000</v>
      </c>
      <c r="BV121" s="165">
        <v>3560000</v>
      </c>
      <c r="BW121" s="165">
        <v>3330000</v>
      </c>
      <c r="BX121" s="154">
        <f>SUM(BS121:BW121)</f>
        <v>19100000</v>
      </c>
      <c r="BY121" s="143" t="e">
        <f>BI121/BS121</f>
        <v>#VALUE!</v>
      </c>
      <c r="BZ121" s="143" t="e">
        <f>BJ121/BT121</f>
        <v>#VALUE!</v>
      </c>
      <c r="CA121" s="143" t="e">
        <f>BK121/BU121</f>
        <v>#VALUE!</v>
      </c>
      <c r="CB121" s="143" t="e">
        <f>BL121/BV121</f>
        <v>#VALUE!</v>
      </c>
      <c r="CC121" s="143" t="e">
        <f>BM121/BW121</f>
        <v>#VALUE!</v>
      </c>
      <c r="CD121" s="259" t="e">
        <f>AVERAGE(BY121:CC121)</f>
        <v>#VALUE!</v>
      </c>
    </row>
    <row r="122" spans="1:82" ht="14.5">
      <c r="A122" s="143" t="s">
        <v>414</v>
      </c>
      <c r="B122" s="143" t="s">
        <v>1437</v>
      </c>
      <c r="C122" s="144" t="s">
        <v>705</v>
      </c>
      <c r="D122" s="144" t="s">
        <v>1225</v>
      </c>
      <c r="E122" s="145" t="s">
        <v>706</v>
      </c>
      <c r="F122" s="143" t="str">
        <f>SUBSTITUTE(E122," ","")</f>
        <v>45605492804</v>
      </c>
      <c r="G122" s="143" t="s">
        <v>1149</v>
      </c>
      <c r="H122" s="143" t="s">
        <v>31</v>
      </c>
      <c r="I122" s="143">
        <v>2330</v>
      </c>
      <c r="J122" s="143">
        <v>-32.464945999999998</v>
      </c>
      <c r="K122" s="143">
        <v>151.13057499999999</v>
      </c>
      <c r="L122" s="143">
        <v>1991</v>
      </c>
      <c r="M122" s="143">
        <v>31</v>
      </c>
      <c r="N122" s="143">
        <v>2023</v>
      </c>
      <c r="O122" s="143"/>
      <c r="P122" s="143"/>
      <c r="Q122" s="143" t="s">
        <v>29</v>
      </c>
      <c r="R122" s="143" t="s">
        <v>29</v>
      </c>
      <c r="S122" s="147"/>
      <c r="T122" s="143"/>
      <c r="U122" s="143"/>
      <c r="V122" s="143"/>
      <c r="W122" s="143"/>
      <c r="X122" s="143"/>
      <c r="Y122" s="143"/>
      <c r="Z122" s="143"/>
      <c r="AA122" s="143"/>
      <c r="AB122" s="143"/>
      <c r="AC122" s="143"/>
      <c r="AD122" s="153"/>
      <c r="AE122" s="153"/>
      <c r="AF122" s="143"/>
      <c r="AG122" s="155"/>
      <c r="AH122" s="147" t="s">
        <v>26</v>
      </c>
      <c r="AI122" s="146" t="s">
        <v>69</v>
      </c>
      <c r="AJ122" s="146" t="s">
        <v>1438</v>
      </c>
      <c r="AK122" s="146" t="s">
        <v>33</v>
      </c>
      <c r="AL122" s="143" t="s">
        <v>134</v>
      </c>
      <c r="AM122" s="143"/>
      <c r="AN122" s="143"/>
      <c r="AO122" s="143"/>
      <c r="AP122" s="152"/>
      <c r="AQ122" s="153"/>
      <c r="AR122" s="153"/>
      <c r="AS122" s="153"/>
      <c r="AT122" s="153"/>
      <c r="AU122" s="154"/>
      <c r="AV122" s="153" t="s">
        <v>1028</v>
      </c>
      <c r="AW122" s="153" t="s">
        <v>106</v>
      </c>
      <c r="AX122" s="153" t="s">
        <v>106</v>
      </c>
      <c r="AY122" s="153" t="s">
        <v>106</v>
      </c>
      <c r="AZ122" s="153" t="s">
        <v>73</v>
      </c>
      <c r="BA122" s="154" t="s">
        <v>73</v>
      </c>
      <c r="BB122" s="152">
        <v>1073662</v>
      </c>
      <c r="BC122" s="153">
        <v>1073662</v>
      </c>
      <c r="BD122" s="153">
        <v>1073662</v>
      </c>
      <c r="BE122" s="157">
        <v>1073662</v>
      </c>
      <c r="BF122" s="157">
        <v>721813</v>
      </c>
      <c r="BG122" s="157"/>
      <c r="BH122" s="155"/>
      <c r="BI122" s="152">
        <v>226664</v>
      </c>
      <c r="BJ122" s="153">
        <v>626540</v>
      </c>
      <c r="BK122" s="153">
        <v>601601</v>
      </c>
      <c r="BL122" s="153">
        <v>601244</v>
      </c>
      <c r="BM122" s="153">
        <v>553209</v>
      </c>
      <c r="BN122" s="154">
        <f>SUMIF(BI122:BM122,"&gt;0",BI122:BM122)</f>
        <v>2609258</v>
      </c>
      <c r="BO122" s="156">
        <v>667945</v>
      </c>
      <c r="BP122" s="148">
        <v>667945</v>
      </c>
      <c r="BQ122" s="153">
        <v>667945</v>
      </c>
      <c r="BR122" s="153">
        <v>667945</v>
      </c>
      <c r="BS122" s="152">
        <v>1266000</v>
      </c>
      <c r="BT122" s="148">
        <v>2219076</v>
      </c>
      <c r="BU122" s="148">
        <v>2629615</v>
      </c>
      <c r="BV122" s="148">
        <v>2758160</v>
      </c>
      <c r="BW122" s="148">
        <v>3042365</v>
      </c>
      <c r="BX122" s="154">
        <f>SUM(BS122:BW122)</f>
        <v>11915216</v>
      </c>
      <c r="BY122" s="143">
        <f>BI122/BS122</f>
        <v>0.17903949447077408</v>
      </c>
      <c r="BZ122" s="143">
        <f>BJ122/BT122</f>
        <v>0.28234274085249894</v>
      </c>
      <c r="CA122" s="143">
        <f>BK122/BU122</f>
        <v>0.22877911785565569</v>
      </c>
      <c r="CB122" s="143">
        <f>BL122/BV122</f>
        <v>0.21798735388809931</v>
      </c>
      <c r="CC122" s="143">
        <f>BM122/BW122</f>
        <v>0.18183518414128483</v>
      </c>
      <c r="CD122" s="259">
        <f>AVERAGE(BY122:CC122)</f>
        <v>0.21799677824166258</v>
      </c>
    </row>
    <row r="123" spans="1:82" ht="14.5">
      <c r="A123" s="143" t="s">
        <v>462</v>
      </c>
      <c r="B123" s="143" t="s">
        <v>1595</v>
      </c>
      <c r="C123" s="144" t="s">
        <v>749</v>
      </c>
      <c r="D123" s="144" t="s">
        <v>1225</v>
      </c>
      <c r="E123" s="145" t="s">
        <v>750</v>
      </c>
      <c r="F123" s="143" t="str">
        <f>SUBSTITUTE(E123," ","")</f>
        <v>43076717505</v>
      </c>
      <c r="G123" s="143" t="s">
        <v>1496</v>
      </c>
      <c r="H123" s="143" t="s">
        <v>81</v>
      </c>
      <c r="I123" s="143">
        <v>6438</v>
      </c>
      <c r="J123" s="143">
        <v>-29.069148999999999</v>
      </c>
      <c r="K123" s="143">
        <v>122.16529199999999</v>
      </c>
      <c r="L123" s="143">
        <v>1998</v>
      </c>
      <c r="M123" s="143">
        <v>24</v>
      </c>
      <c r="N123" s="143">
        <v>2042</v>
      </c>
      <c r="O123" s="143"/>
      <c r="P123" s="143"/>
      <c r="Q123" s="143" t="s">
        <v>225</v>
      </c>
      <c r="R123" s="143" t="s">
        <v>79</v>
      </c>
      <c r="S123" s="147"/>
      <c r="T123" s="143"/>
      <c r="U123" s="143"/>
      <c r="V123" s="143"/>
      <c r="W123" s="143"/>
      <c r="X123" s="143"/>
      <c r="Y123" s="143"/>
      <c r="Z123" s="143"/>
      <c r="AA123" s="143"/>
      <c r="AB123" s="143"/>
      <c r="AC123" s="143"/>
      <c r="AD123" s="153"/>
      <c r="AE123" s="153"/>
      <c r="AF123" s="143"/>
      <c r="AG123" s="155"/>
      <c r="AH123" s="150" t="s">
        <v>37</v>
      </c>
      <c r="AI123" s="151" t="s">
        <v>76</v>
      </c>
      <c r="AJ123" s="151" t="s">
        <v>70</v>
      </c>
      <c r="AK123" s="151" t="s">
        <v>70</v>
      </c>
      <c r="AL123" s="151" t="s">
        <v>118</v>
      </c>
      <c r="AM123" s="151" t="s">
        <v>70</v>
      </c>
      <c r="AN123" s="151" t="s">
        <v>70</v>
      </c>
      <c r="AO123" s="151" t="s">
        <v>70</v>
      </c>
      <c r="AP123" s="152"/>
      <c r="AQ123" s="153"/>
      <c r="AR123" s="153"/>
      <c r="AS123" s="153"/>
      <c r="AT123" s="153"/>
      <c r="AU123" s="154"/>
      <c r="AV123" s="153" t="s">
        <v>1028</v>
      </c>
      <c r="AW123" s="153" t="s">
        <v>106</v>
      </c>
      <c r="AX123" s="153" t="s">
        <v>106</v>
      </c>
      <c r="AY123" s="153" t="s">
        <v>106</v>
      </c>
      <c r="AZ123" s="153" t="s">
        <v>73</v>
      </c>
      <c r="BA123" s="154" t="s">
        <v>73</v>
      </c>
      <c r="BB123" s="152">
        <v>568485</v>
      </c>
      <c r="BC123" s="153">
        <v>568485</v>
      </c>
      <c r="BD123" s="153">
        <v>568485</v>
      </c>
      <c r="BE123" s="157">
        <v>568485</v>
      </c>
      <c r="BF123" s="157">
        <v>617082</v>
      </c>
      <c r="BG123" s="157"/>
      <c r="BH123" s="155"/>
      <c r="BI123" s="152">
        <v>502887</v>
      </c>
      <c r="BJ123" s="153">
        <v>513365</v>
      </c>
      <c r="BK123" s="153">
        <v>502006</v>
      </c>
      <c r="BL123" s="153">
        <v>488332</v>
      </c>
      <c r="BM123" s="153">
        <v>486498</v>
      </c>
      <c r="BN123" s="154">
        <f>SUMIF(BI123:BM123,"&gt;0",BI123:BM123)</f>
        <v>2493088</v>
      </c>
      <c r="BO123" s="156"/>
      <c r="BP123" s="148"/>
      <c r="BQ123" s="153"/>
      <c r="BR123" s="153"/>
      <c r="BS123" s="152"/>
      <c r="BT123" s="148"/>
      <c r="BU123" s="148"/>
      <c r="BV123" s="148"/>
      <c r="BW123" s="148"/>
      <c r="BX123" s="154">
        <f>SUM(BS123:BW123)</f>
        <v>0</v>
      </c>
      <c r="BY123" s="143"/>
      <c r="BZ123" s="143"/>
      <c r="CA123" s="143"/>
      <c r="CB123" s="143"/>
      <c r="CC123" s="143"/>
      <c r="CD123" s="259"/>
    </row>
    <row r="124" spans="1:82" ht="14.5">
      <c r="A124" s="143" t="s">
        <v>456</v>
      </c>
      <c r="B124" s="143" t="s">
        <v>1580</v>
      </c>
      <c r="C124" s="144" t="s">
        <v>744</v>
      </c>
      <c r="D124" s="144" t="s">
        <v>1225</v>
      </c>
      <c r="E124" s="145" t="s">
        <v>745</v>
      </c>
      <c r="F124" s="143" t="str">
        <f>SUBSTITUTE(E124," ","")</f>
        <v>87009661447</v>
      </c>
      <c r="G124" s="143" t="s">
        <v>1581</v>
      </c>
      <c r="H124" s="143" t="s">
        <v>53</v>
      </c>
      <c r="I124" s="143">
        <v>4825</v>
      </c>
      <c r="J124" s="143">
        <v>-20.728380000000001</v>
      </c>
      <c r="K124" s="143">
        <v>139.48375799999999</v>
      </c>
      <c r="L124" s="143">
        <v>1924</v>
      </c>
      <c r="M124" s="143">
        <v>98</v>
      </c>
      <c r="N124" s="143">
        <v>2026</v>
      </c>
      <c r="O124" s="143"/>
      <c r="P124" s="143"/>
      <c r="Q124" s="143" t="s">
        <v>228</v>
      </c>
      <c r="R124" s="143" t="s">
        <v>79</v>
      </c>
      <c r="S124" s="147"/>
      <c r="T124" s="143"/>
      <c r="U124" s="143"/>
      <c r="V124" s="143"/>
      <c r="W124" s="143"/>
      <c r="X124" s="143"/>
      <c r="Y124" s="143"/>
      <c r="Z124" s="143"/>
      <c r="AA124" s="143"/>
      <c r="AB124" s="143"/>
      <c r="AC124" s="143"/>
      <c r="AD124" s="153"/>
      <c r="AE124" s="153"/>
      <c r="AF124" s="143"/>
      <c r="AG124" s="155"/>
      <c r="AH124" s="150" t="s">
        <v>37</v>
      </c>
      <c r="AI124" s="151" t="s">
        <v>76</v>
      </c>
      <c r="AJ124" s="151" t="s">
        <v>70</v>
      </c>
      <c r="AK124" s="151" t="s">
        <v>70</v>
      </c>
      <c r="AL124" s="151" t="s">
        <v>118</v>
      </c>
      <c r="AM124" s="151" t="s">
        <v>70</v>
      </c>
      <c r="AN124" s="151" t="s">
        <v>70</v>
      </c>
      <c r="AO124" s="151" t="s">
        <v>70</v>
      </c>
      <c r="AP124" s="152"/>
      <c r="AQ124" s="153"/>
      <c r="AR124" s="153"/>
      <c r="AS124" s="153"/>
      <c r="AT124" s="153"/>
      <c r="AU124" s="154"/>
      <c r="AV124" s="153" t="s">
        <v>1028</v>
      </c>
      <c r="AW124" s="153" t="s">
        <v>106</v>
      </c>
      <c r="AX124" s="153" t="s">
        <v>106</v>
      </c>
      <c r="AY124" s="153" t="s">
        <v>106</v>
      </c>
      <c r="AZ124" s="153" t="s">
        <v>73</v>
      </c>
      <c r="BA124" s="154" t="s">
        <v>73</v>
      </c>
      <c r="BB124" s="152">
        <v>637664</v>
      </c>
      <c r="BC124" s="153">
        <v>637664</v>
      </c>
      <c r="BD124" s="153">
        <v>637664</v>
      </c>
      <c r="BE124" s="157">
        <v>637664</v>
      </c>
      <c r="BF124" s="157">
        <v>610598</v>
      </c>
      <c r="BG124" s="157"/>
      <c r="BH124" s="155"/>
      <c r="BI124" s="152">
        <v>387433</v>
      </c>
      <c r="BJ124" s="153">
        <v>325954</v>
      </c>
      <c r="BK124" s="153">
        <v>362320</v>
      </c>
      <c r="BL124" s="153">
        <v>382841</v>
      </c>
      <c r="BM124" s="153">
        <v>300397</v>
      </c>
      <c r="BN124" s="154">
        <f>SUMIF(BI124:BM124,"&gt;0",BI124:BM124)</f>
        <v>1758945</v>
      </c>
      <c r="BO124" s="156"/>
      <c r="BP124" s="148"/>
      <c r="BQ124" s="153"/>
      <c r="BR124" s="153"/>
      <c r="BS124" s="152"/>
      <c r="BT124" s="148"/>
      <c r="BU124" s="148"/>
      <c r="BV124" s="148"/>
      <c r="BW124" s="148"/>
      <c r="BX124" s="154">
        <f>SUM(BS124:BW124)</f>
        <v>0</v>
      </c>
      <c r="BY124" s="143"/>
      <c r="BZ124" s="143"/>
      <c r="CA124" s="143"/>
      <c r="CB124" s="143"/>
      <c r="CC124" s="143"/>
      <c r="CD124" s="259"/>
    </row>
    <row r="125" spans="1:82" ht="14.5">
      <c r="A125" s="143" t="s">
        <v>469</v>
      </c>
      <c r="B125" s="143" t="s">
        <v>1619</v>
      </c>
      <c r="C125" s="144" t="s">
        <v>651</v>
      </c>
      <c r="D125" s="144" t="s">
        <v>1225</v>
      </c>
      <c r="E125" s="145" t="s">
        <v>756</v>
      </c>
      <c r="F125" s="143" t="str">
        <f>SUBSTITUTE(E125," ","")</f>
        <v>69098156702</v>
      </c>
      <c r="G125" s="143" t="s">
        <v>1620</v>
      </c>
      <c r="H125" s="143" t="s">
        <v>53</v>
      </c>
      <c r="I125" s="143">
        <v>4743</v>
      </c>
      <c r="J125" s="143">
        <v>-21.211524000000001</v>
      </c>
      <c r="K125" s="143">
        <v>147.89718199999999</v>
      </c>
      <c r="L125" s="143">
        <v>1983</v>
      </c>
      <c r="M125" s="143">
        <v>39</v>
      </c>
      <c r="N125" s="143">
        <v>2027</v>
      </c>
      <c r="O125" s="143"/>
      <c r="P125" s="143"/>
      <c r="Q125" s="143" t="s">
        <v>29</v>
      </c>
      <c r="R125" s="143" t="s">
        <v>29</v>
      </c>
      <c r="S125" s="147"/>
      <c r="T125" s="143"/>
      <c r="U125" s="143"/>
      <c r="V125" s="143"/>
      <c r="W125" s="143"/>
      <c r="X125" s="143"/>
      <c r="Y125" s="143"/>
      <c r="Z125" s="143"/>
      <c r="AA125" s="143"/>
      <c r="AB125" s="143"/>
      <c r="AC125" s="143"/>
      <c r="AD125" s="153"/>
      <c r="AE125" s="153"/>
      <c r="AF125" s="143"/>
      <c r="AG125" s="155"/>
      <c r="AH125" s="147" t="s">
        <v>26</v>
      </c>
      <c r="AI125" s="146" t="s">
        <v>69</v>
      </c>
      <c r="AJ125" s="146" t="s">
        <v>1133</v>
      </c>
      <c r="AK125" s="146" t="s">
        <v>608</v>
      </c>
      <c r="AL125" s="143" t="s">
        <v>43</v>
      </c>
      <c r="AM125" s="143"/>
      <c r="AN125" s="143"/>
      <c r="AO125" s="143"/>
      <c r="AP125" s="152"/>
      <c r="AQ125" s="153"/>
      <c r="AR125" s="153"/>
      <c r="AS125" s="153"/>
      <c r="AT125" s="153"/>
      <c r="AU125" s="154"/>
      <c r="AV125" s="153" t="s">
        <v>106</v>
      </c>
      <c r="AW125" s="153" t="s">
        <v>106</v>
      </c>
      <c r="AX125" s="153" t="s">
        <v>106</v>
      </c>
      <c r="AY125" s="153" t="s">
        <v>106</v>
      </c>
      <c r="AZ125" s="153" t="s">
        <v>73</v>
      </c>
      <c r="BA125" s="154" t="s">
        <v>73</v>
      </c>
      <c r="BB125" s="152">
        <v>972730</v>
      </c>
      <c r="BC125" s="153">
        <v>972730</v>
      </c>
      <c r="BD125" s="153">
        <v>972730</v>
      </c>
      <c r="BE125" s="157">
        <v>972730</v>
      </c>
      <c r="BF125" s="157">
        <v>454339</v>
      </c>
      <c r="BG125" s="157"/>
      <c r="BH125" s="155" t="s">
        <v>1621</v>
      </c>
      <c r="BI125" s="152">
        <v>269622</v>
      </c>
      <c r="BJ125" s="153">
        <v>275299</v>
      </c>
      <c r="BK125" s="153">
        <v>291966</v>
      </c>
      <c r="BL125" s="153">
        <v>434665</v>
      </c>
      <c r="BM125" s="153">
        <v>390714</v>
      </c>
      <c r="BN125" s="154">
        <f>SUMIF(BI125:BM125,"&gt;0",BI125:BM125)</f>
        <v>1662266</v>
      </c>
      <c r="BO125" s="156">
        <v>560715</v>
      </c>
      <c r="BP125" s="148">
        <v>560715</v>
      </c>
      <c r="BQ125" s="153">
        <v>560715</v>
      </c>
      <c r="BR125" s="153">
        <v>560715</v>
      </c>
      <c r="BS125" s="152">
        <v>5645000</v>
      </c>
      <c r="BT125" s="148">
        <v>5523000</v>
      </c>
      <c r="BU125" s="148">
        <v>4547000</v>
      </c>
      <c r="BV125" s="148">
        <v>3557000</v>
      </c>
      <c r="BW125" s="148" t="s">
        <v>1096</v>
      </c>
      <c r="BX125" s="154">
        <f>SUM(BS125:BW125)</f>
        <v>19272000</v>
      </c>
      <c r="BY125" s="143">
        <f>BI125/BS125</f>
        <v>4.7762976085031002E-2</v>
      </c>
      <c r="BZ125" s="143">
        <f>BJ125/BT125</f>
        <v>4.9845917074053954E-2</v>
      </c>
      <c r="CA125" s="143">
        <f>BK125/BU125</f>
        <v>6.4210688365955573E-2</v>
      </c>
      <c r="CB125" s="143">
        <f>BL125/BV125</f>
        <v>0.12219988754568456</v>
      </c>
      <c r="CC125" s="143" t="e">
        <f>BM125/BW125</f>
        <v>#VALUE!</v>
      </c>
      <c r="CD125" s="259" t="e">
        <f>AVERAGE(BY125:CC125)</f>
        <v>#VALUE!</v>
      </c>
    </row>
    <row r="126" spans="1:82" ht="14.5">
      <c r="A126" s="143" t="s">
        <v>536</v>
      </c>
      <c r="B126" s="143" t="s">
        <v>1863</v>
      </c>
      <c r="C126" s="144" t="s">
        <v>755</v>
      </c>
      <c r="D126" s="144" t="s">
        <v>1225</v>
      </c>
      <c r="E126" s="145" t="s">
        <v>756</v>
      </c>
      <c r="F126" s="143" t="str">
        <f>SUBSTITUTE(E126," ","")</f>
        <v>69098156702</v>
      </c>
      <c r="G126" s="143" t="s">
        <v>1864</v>
      </c>
      <c r="H126" s="143" t="s">
        <v>53</v>
      </c>
      <c r="I126" s="143">
        <v>4702</v>
      </c>
      <c r="J126" s="143">
        <v>-24.442938000000002</v>
      </c>
      <c r="K126" s="143">
        <v>148.41466500000001</v>
      </c>
      <c r="L126" s="143">
        <v>2005</v>
      </c>
      <c r="M126" s="143">
        <v>17</v>
      </c>
      <c r="N126" s="143">
        <v>2040</v>
      </c>
      <c r="O126" s="143"/>
      <c r="P126" s="143"/>
      <c r="Q126" s="143" t="s">
        <v>29</v>
      </c>
      <c r="R126" s="143" t="s">
        <v>29</v>
      </c>
      <c r="S126" s="147"/>
      <c r="T126" s="143"/>
      <c r="U126" s="143"/>
      <c r="V126" s="143"/>
      <c r="W126" s="143"/>
      <c r="X126" s="143"/>
      <c r="Y126" s="143"/>
      <c r="Z126" s="143"/>
      <c r="AA126" s="143"/>
      <c r="AB126" s="143"/>
      <c r="AC126" s="143"/>
      <c r="AD126" s="153"/>
      <c r="AE126" s="153"/>
      <c r="AF126" s="143"/>
      <c r="AG126" s="155"/>
      <c r="AH126" s="147" t="s">
        <v>26</v>
      </c>
      <c r="AI126" s="146" t="s">
        <v>36</v>
      </c>
      <c r="AJ126" s="146" t="s">
        <v>1111</v>
      </c>
      <c r="AK126" s="146" t="s">
        <v>21</v>
      </c>
      <c r="AL126" s="143" t="s">
        <v>43</v>
      </c>
      <c r="AM126" s="143" t="s">
        <v>63</v>
      </c>
      <c r="AN126" s="143">
        <v>5</v>
      </c>
      <c r="AO126" s="143"/>
      <c r="AP126" s="152"/>
      <c r="AQ126" s="153"/>
      <c r="AR126" s="153"/>
      <c r="AS126" s="153"/>
      <c r="AT126" s="153"/>
      <c r="AU126" s="154"/>
      <c r="AV126" s="153" t="s">
        <v>1028</v>
      </c>
      <c r="AW126" s="153" t="s">
        <v>106</v>
      </c>
      <c r="AX126" s="153" t="s">
        <v>106</v>
      </c>
      <c r="AY126" s="153" t="s">
        <v>106</v>
      </c>
      <c r="AZ126" s="153" t="s">
        <v>73</v>
      </c>
      <c r="BA126" s="154" t="s">
        <v>73</v>
      </c>
      <c r="BB126" s="152">
        <v>279639</v>
      </c>
      <c r="BC126" s="153">
        <v>279639</v>
      </c>
      <c r="BD126" s="153">
        <v>279639</v>
      </c>
      <c r="BE126" s="157">
        <v>279639</v>
      </c>
      <c r="BF126" s="157">
        <v>163725</v>
      </c>
      <c r="BG126" s="157"/>
      <c r="BH126" s="155"/>
      <c r="BI126" s="152">
        <v>151837</v>
      </c>
      <c r="BJ126" s="153">
        <v>174584</v>
      </c>
      <c r="BK126" s="153">
        <v>162486</v>
      </c>
      <c r="BL126" s="153">
        <v>166843</v>
      </c>
      <c r="BM126" s="153">
        <v>143655</v>
      </c>
      <c r="BN126" s="154">
        <f>SUMIF(BI126:BM126,"&gt;0",BI126:BM126)</f>
        <v>799405</v>
      </c>
      <c r="BO126" s="156">
        <v>256600</v>
      </c>
      <c r="BP126" s="148">
        <v>256600</v>
      </c>
      <c r="BQ126" s="153">
        <v>256600</v>
      </c>
      <c r="BR126" s="153">
        <v>256600</v>
      </c>
      <c r="BS126" s="152">
        <v>14417000</v>
      </c>
      <c r="BT126" s="148">
        <v>15177000</v>
      </c>
      <c r="BU126" s="148">
        <v>15725000</v>
      </c>
      <c r="BV126" s="148">
        <v>12471000</v>
      </c>
      <c r="BW126" s="148" t="s">
        <v>1096</v>
      </c>
      <c r="BX126" s="154">
        <f>SUM(BS126:BW126)</f>
        <v>57790000</v>
      </c>
      <c r="BY126" s="143">
        <f>BI126/BS126</f>
        <v>1.0531802732884789E-2</v>
      </c>
      <c r="BZ126" s="143">
        <f>BJ126/BT126</f>
        <v>1.150319562495882E-2</v>
      </c>
      <c r="CA126" s="143">
        <f>BK126/BU126</f>
        <v>1.0332972972972972E-2</v>
      </c>
      <c r="CB126" s="143">
        <f>BL126/BV126</f>
        <v>1.337847806912036E-2</v>
      </c>
      <c r="CC126" s="143" t="e">
        <f>BM126/BW126</f>
        <v>#VALUE!</v>
      </c>
      <c r="CD126" s="143" t="e">
        <f>AVERAGE(BY126:CC126)</f>
        <v>#VALUE!</v>
      </c>
    </row>
    <row r="127" spans="1:82" ht="14.5">
      <c r="A127" s="143" t="s">
        <v>460</v>
      </c>
      <c r="B127" s="143" t="s">
        <v>1590</v>
      </c>
      <c r="C127" s="144" t="s">
        <v>746</v>
      </c>
      <c r="D127" s="144" t="s">
        <v>1225</v>
      </c>
      <c r="E127" s="145" t="s">
        <v>747</v>
      </c>
      <c r="F127" s="143" t="str">
        <f>SUBSTITUTE(E127," ","")</f>
        <v>83003827361</v>
      </c>
      <c r="G127" s="143" t="s">
        <v>1487</v>
      </c>
      <c r="H127" s="143" t="s">
        <v>31</v>
      </c>
      <c r="I127" s="143">
        <v>2330</v>
      </c>
      <c r="J127" s="143">
        <v>-32.393157000000002</v>
      </c>
      <c r="K127" s="143">
        <v>151.09060099999999</v>
      </c>
      <c r="L127" s="143" t="s">
        <v>292</v>
      </c>
      <c r="M127" s="143" t="s">
        <v>292</v>
      </c>
      <c r="N127" s="143" t="s">
        <v>292</v>
      </c>
      <c r="O127" s="143"/>
      <c r="P127" s="143"/>
      <c r="Q127" s="143" t="s">
        <v>29</v>
      </c>
      <c r="R127" s="143" t="s">
        <v>29</v>
      </c>
      <c r="S127" s="147"/>
      <c r="T127" s="143"/>
      <c r="U127" s="143"/>
      <c r="V127" s="143"/>
      <c r="W127" s="143"/>
      <c r="X127" s="143"/>
      <c r="Y127" s="143"/>
      <c r="Z127" s="143"/>
      <c r="AA127" s="143"/>
      <c r="AB127" s="143"/>
      <c r="AC127" s="143"/>
      <c r="AD127" s="153"/>
      <c r="AE127" s="153"/>
      <c r="AF127" s="143"/>
      <c r="AG127" s="155"/>
      <c r="AH127" s="147" t="s">
        <v>26</v>
      </c>
      <c r="AI127" s="146" t="s">
        <v>69</v>
      </c>
      <c r="AJ127" s="146" t="s">
        <v>1591</v>
      </c>
      <c r="AK127" s="146" t="s">
        <v>21</v>
      </c>
      <c r="AL127" s="143" t="s">
        <v>134</v>
      </c>
      <c r="AM127" s="143" t="s">
        <v>38</v>
      </c>
      <c r="AN127" s="143">
        <v>24</v>
      </c>
      <c r="AO127" s="143" t="s">
        <v>900</v>
      </c>
      <c r="AP127" s="152"/>
      <c r="AQ127" s="153"/>
      <c r="AR127" s="153"/>
      <c r="AS127" s="153"/>
      <c r="AT127" s="153"/>
      <c r="AU127" s="154"/>
      <c r="AV127" s="153" t="s">
        <v>114</v>
      </c>
      <c r="AW127" s="153" t="s">
        <v>114</v>
      </c>
      <c r="AX127" s="153" t="s">
        <v>114</v>
      </c>
      <c r="AY127" s="153" t="s">
        <v>106</v>
      </c>
      <c r="AZ127" s="153" t="s">
        <v>73</v>
      </c>
      <c r="BA127" s="154" t="s">
        <v>73</v>
      </c>
      <c r="BB127" s="166" t="s">
        <v>114</v>
      </c>
      <c r="BC127" s="157" t="s">
        <v>114</v>
      </c>
      <c r="BD127" s="157" t="s">
        <v>114</v>
      </c>
      <c r="BE127" s="157">
        <v>982160</v>
      </c>
      <c r="BF127" s="157">
        <v>286172</v>
      </c>
      <c r="BG127" s="157"/>
      <c r="BH127" s="155" t="s">
        <v>1592</v>
      </c>
      <c r="BI127" s="152" t="s">
        <v>920</v>
      </c>
      <c r="BJ127" s="153" t="s">
        <v>920</v>
      </c>
      <c r="BK127" s="153" t="s">
        <v>920</v>
      </c>
      <c r="BL127" s="153">
        <v>335246</v>
      </c>
      <c r="BM127" s="153">
        <v>278984</v>
      </c>
      <c r="BN127" s="154">
        <f>SUMIF(BI127:BM127,"&gt;0",BI127:BM127)</f>
        <v>614230</v>
      </c>
      <c r="BO127" s="156"/>
      <c r="BP127" s="148"/>
      <c r="BQ127" s="153"/>
      <c r="BR127" s="153"/>
      <c r="BS127" s="152">
        <v>14000000</v>
      </c>
      <c r="BT127" s="148">
        <v>14100000</v>
      </c>
      <c r="BU127" s="148">
        <v>14700000</v>
      </c>
      <c r="BV127" s="148">
        <v>12800000</v>
      </c>
      <c r="BW127" s="148">
        <v>12100000</v>
      </c>
      <c r="BX127" s="154">
        <f>SUM(BS127:BW127)</f>
        <v>67700000</v>
      </c>
      <c r="BY127" s="143" t="e">
        <f>BI127/BS127</f>
        <v>#VALUE!</v>
      </c>
      <c r="BZ127" s="143" t="e">
        <f>BJ127/BT127</f>
        <v>#VALUE!</v>
      </c>
      <c r="CA127" s="143" t="e">
        <f>BK127/BU127</f>
        <v>#VALUE!</v>
      </c>
      <c r="CB127" s="143">
        <f>BL127/BV127</f>
        <v>2.6191093750000002E-2</v>
      </c>
      <c r="CC127" s="143">
        <f>BM127/BW127</f>
        <v>2.3056528925619834E-2</v>
      </c>
      <c r="CD127" s="143" t="e">
        <f>AVERAGE(BY127:CC127)</f>
        <v>#VALUE!</v>
      </c>
    </row>
    <row r="128" spans="1:82" ht="14.5">
      <c r="A128" s="143" t="s">
        <v>352</v>
      </c>
      <c r="B128" s="143" t="s">
        <v>1224</v>
      </c>
      <c r="C128" s="144" t="s">
        <v>651</v>
      </c>
      <c r="D128" s="144" t="s">
        <v>1225</v>
      </c>
      <c r="E128" s="145" t="s">
        <v>756</v>
      </c>
      <c r="F128" s="143" t="str">
        <f>SUBSTITUTE(E128," ","")</f>
        <v>69098156702</v>
      </c>
      <c r="G128" s="143" t="s">
        <v>1226</v>
      </c>
      <c r="H128" s="143" t="s">
        <v>53</v>
      </c>
      <c r="I128" s="143">
        <v>4804</v>
      </c>
      <c r="J128" s="143">
        <v>-20.557987000000001</v>
      </c>
      <c r="K128" s="143">
        <v>147.80291099999999</v>
      </c>
      <c r="L128" s="143">
        <v>1919</v>
      </c>
      <c r="M128" s="143">
        <v>103</v>
      </c>
      <c r="N128" s="143">
        <v>2041</v>
      </c>
      <c r="O128" s="143"/>
      <c r="P128" s="143"/>
      <c r="Q128" s="143" t="s">
        <v>29</v>
      </c>
      <c r="R128" s="143" t="s">
        <v>29</v>
      </c>
      <c r="S128" s="147"/>
      <c r="T128" s="143"/>
      <c r="U128" s="143"/>
      <c r="V128" s="143"/>
      <c r="W128" s="143"/>
      <c r="X128" s="143"/>
      <c r="Y128" s="143"/>
      <c r="Z128" s="143"/>
      <c r="AA128" s="143"/>
      <c r="AB128" s="143"/>
      <c r="AC128" s="143"/>
      <c r="AD128" s="153"/>
      <c r="AE128" s="153"/>
      <c r="AF128" s="143"/>
      <c r="AG128" s="155"/>
      <c r="AH128" s="147" t="s">
        <v>26</v>
      </c>
      <c r="AI128" s="146" t="s">
        <v>69</v>
      </c>
      <c r="AJ128" s="146" t="s">
        <v>1133</v>
      </c>
      <c r="AK128" s="146" t="s">
        <v>21</v>
      </c>
      <c r="AL128" s="143" t="s">
        <v>43</v>
      </c>
      <c r="AM128" s="143"/>
      <c r="AN128" s="143"/>
      <c r="AO128" s="143"/>
      <c r="AP128" s="152"/>
      <c r="AQ128" s="153"/>
      <c r="AR128" s="153"/>
      <c r="AS128" s="153"/>
      <c r="AT128" s="153"/>
      <c r="AU128" s="154"/>
      <c r="AV128" s="153" t="s">
        <v>106</v>
      </c>
      <c r="AW128" s="153" t="s">
        <v>106</v>
      </c>
      <c r="AX128" s="153" t="s">
        <v>106</v>
      </c>
      <c r="AY128" s="153" t="s">
        <v>106</v>
      </c>
      <c r="AZ128" s="153" t="s">
        <v>73</v>
      </c>
      <c r="BA128" s="154" t="s">
        <v>73</v>
      </c>
      <c r="BB128" s="152">
        <v>176524</v>
      </c>
      <c r="BC128" s="153">
        <v>102529</v>
      </c>
      <c r="BD128" s="153">
        <v>176524</v>
      </c>
      <c r="BE128" s="157">
        <v>176524</v>
      </c>
      <c r="BF128" s="157">
        <v>144171</v>
      </c>
      <c r="BG128" s="157"/>
      <c r="BH128" s="155"/>
      <c r="BI128" s="152" t="s">
        <v>920</v>
      </c>
      <c r="BJ128" s="153">
        <v>72682</v>
      </c>
      <c r="BK128" s="153">
        <v>168247</v>
      </c>
      <c r="BL128" s="153">
        <v>153071</v>
      </c>
      <c r="BM128" s="153">
        <v>112115</v>
      </c>
      <c r="BN128" s="154">
        <f>SUMIF(BI128:BM128,"&gt;0",BI128:BM128)</f>
        <v>506115</v>
      </c>
      <c r="BO128" s="156"/>
      <c r="BP128" s="148"/>
      <c r="BQ128" s="153"/>
      <c r="BR128" s="153"/>
      <c r="BS128" s="152">
        <v>2150000</v>
      </c>
      <c r="BT128" s="148">
        <v>3224000</v>
      </c>
      <c r="BU128" s="148">
        <v>3773000</v>
      </c>
      <c r="BV128" s="148">
        <v>3180000</v>
      </c>
      <c r="BW128" s="148">
        <v>1946000</v>
      </c>
      <c r="BX128" s="154">
        <f>SUM(BS128:BW128)</f>
        <v>14273000</v>
      </c>
      <c r="BY128" s="143" t="e">
        <f>BI128/BS128</f>
        <v>#VALUE!</v>
      </c>
      <c r="BZ128" s="143">
        <f>BJ128/BT128</f>
        <v>2.2544044665012405E-2</v>
      </c>
      <c r="CA128" s="143">
        <f>BK128/BU128</f>
        <v>4.4592366816856611E-2</v>
      </c>
      <c r="CB128" s="143">
        <f>BL128/BV128</f>
        <v>4.8135534591194969E-2</v>
      </c>
      <c r="CC128" s="143">
        <f>BM128/BW128</f>
        <v>5.761305241521069E-2</v>
      </c>
      <c r="CD128" s="259" t="e">
        <f>AVERAGE(BY128:CC128)</f>
        <v>#VALUE!</v>
      </c>
    </row>
    <row r="129" spans="1:82" ht="14.5">
      <c r="A129" s="143" t="s">
        <v>459</v>
      </c>
      <c r="B129" s="143" t="s">
        <v>1590</v>
      </c>
      <c r="C129" s="144" t="s">
        <v>746</v>
      </c>
      <c r="D129" s="144" t="s">
        <v>1225</v>
      </c>
      <c r="E129" s="145" t="s">
        <v>747</v>
      </c>
      <c r="F129" s="143" t="str">
        <f>SUBSTITUTE(E129," ","")</f>
        <v>83003827361</v>
      </c>
      <c r="G129" s="143" t="s">
        <v>1487</v>
      </c>
      <c r="H129" s="143" t="s">
        <v>31</v>
      </c>
      <c r="I129" s="143">
        <v>2330</v>
      </c>
      <c r="J129" s="143">
        <v>-32.393157000000002</v>
      </c>
      <c r="K129" s="143">
        <v>151.09060099999999</v>
      </c>
      <c r="L129" s="143" t="s">
        <v>292</v>
      </c>
      <c r="M129" s="143" t="s">
        <v>292</v>
      </c>
      <c r="N129" s="143" t="s">
        <v>292</v>
      </c>
      <c r="O129" s="143"/>
      <c r="P129" s="143"/>
      <c r="Q129" s="143" t="s">
        <v>29</v>
      </c>
      <c r="R129" s="143" t="s">
        <v>29</v>
      </c>
      <c r="S129" s="147"/>
      <c r="T129" s="143"/>
      <c r="U129" s="143"/>
      <c r="V129" s="143"/>
      <c r="W129" s="143"/>
      <c r="X129" s="143"/>
      <c r="Y129" s="143"/>
      <c r="Z129" s="143"/>
      <c r="AA129" s="143"/>
      <c r="AB129" s="143"/>
      <c r="AC129" s="143"/>
      <c r="AD129" s="153"/>
      <c r="AE129" s="153"/>
      <c r="AF129" s="143"/>
      <c r="AG129" s="155"/>
      <c r="AH129" s="147" t="s">
        <v>26</v>
      </c>
      <c r="AI129" s="146" t="s">
        <v>69</v>
      </c>
      <c r="AJ129" s="146" t="s">
        <v>1591</v>
      </c>
      <c r="AK129" s="146" t="s">
        <v>21</v>
      </c>
      <c r="AL129" s="143" t="s">
        <v>134</v>
      </c>
      <c r="AM129" s="143"/>
      <c r="AN129" s="143"/>
      <c r="AO129" s="143"/>
      <c r="AP129" s="152"/>
      <c r="AQ129" s="153"/>
      <c r="AR129" s="153"/>
      <c r="AS129" s="153"/>
      <c r="AT129" s="153"/>
      <c r="AU129" s="154"/>
      <c r="AV129" s="153" t="s">
        <v>1028</v>
      </c>
      <c r="AW129" s="153" t="s">
        <v>106</v>
      </c>
      <c r="AX129" s="153" t="s">
        <v>106</v>
      </c>
      <c r="AY129" s="153" t="s">
        <v>117</v>
      </c>
      <c r="AZ129" s="153" t="s">
        <v>117</v>
      </c>
      <c r="BA129" s="154" t="s">
        <v>117</v>
      </c>
      <c r="BB129" s="152">
        <v>534145</v>
      </c>
      <c r="BC129" s="153">
        <v>534145</v>
      </c>
      <c r="BD129" s="153">
        <v>534145</v>
      </c>
      <c r="BE129" s="157" t="s">
        <v>117</v>
      </c>
      <c r="BF129" s="157" t="s">
        <v>117</v>
      </c>
      <c r="BG129" s="157"/>
      <c r="BH129" s="155" t="s">
        <v>1592</v>
      </c>
      <c r="BI129" s="152">
        <v>141653</v>
      </c>
      <c r="BJ129" s="153">
        <v>150686</v>
      </c>
      <c r="BK129" s="153">
        <v>136872</v>
      </c>
      <c r="BL129" s="153" t="s">
        <v>117</v>
      </c>
      <c r="BM129" s="153" t="s">
        <v>117</v>
      </c>
      <c r="BN129" s="154">
        <f>SUMIF(BI129:BM129,"&gt;0",BI129:BM129)</f>
        <v>429211</v>
      </c>
      <c r="BO129" s="156"/>
      <c r="BP129" s="148"/>
      <c r="BQ129" s="153"/>
      <c r="BR129" s="153"/>
      <c r="BS129" s="152">
        <v>8650000</v>
      </c>
      <c r="BT129" s="148">
        <v>8820000</v>
      </c>
      <c r="BU129" s="148">
        <v>8930000</v>
      </c>
      <c r="BV129" s="148">
        <v>8060000</v>
      </c>
      <c r="BW129" s="148">
        <v>7780000</v>
      </c>
      <c r="BX129" s="154">
        <f>SUM(BS129:BW129)</f>
        <v>42240000</v>
      </c>
      <c r="BY129" s="143">
        <f>BI129/BS129</f>
        <v>1.637606936416185E-2</v>
      </c>
      <c r="BZ129" s="143">
        <f>BJ129/BT129</f>
        <v>1.7084580498866214E-2</v>
      </c>
      <c r="CA129" s="143">
        <f>BK129/BU129</f>
        <v>1.5327211646136618E-2</v>
      </c>
      <c r="CB129" s="143" t="e">
        <f>BL129/BV129</f>
        <v>#VALUE!</v>
      </c>
      <c r="CC129" s="143" t="e">
        <f>BM129/BW129</f>
        <v>#VALUE!</v>
      </c>
      <c r="CD129" s="143" t="e">
        <f>AVERAGE(BY129:CC129)</f>
        <v>#VALUE!</v>
      </c>
    </row>
    <row r="130" spans="1:82" ht="14.5">
      <c r="A130" s="143" t="s">
        <v>573</v>
      </c>
      <c r="B130" s="143" t="s">
        <v>1978</v>
      </c>
      <c r="C130" s="144" t="s">
        <v>829</v>
      </c>
      <c r="D130" s="144" t="s">
        <v>1225</v>
      </c>
      <c r="E130" s="145" t="s">
        <v>830</v>
      </c>
      <c r="F130" s="143" t="str">
        <f>SUBSTITUTE(E130," ","")</f>
        <v>67001990209</v>
      </c>
      <c r="G130" s="143" t="s">
        <v>1979</v>
      </c>
      <c r="H130" s="143" t="s">
        <v>31</v>
      </c>
      <c r="I130" s="143">
        <v>2330</v>
      </c>
      <c r="J130" s="143">
        <v>-32.547888999999998</v>
      </c>
      <c r="K130" s="143">
        <v>150.992694</v>
      </c>
      <c r="L130" s="143" t="s">
        <v>292</v>
      </c>
      <c r="M130" s="143" t="s">
        <v>292</v>
      </c>
      <c r="N130" s="143" t="s">
        <v>292</v>
      </c>
      <c r="O130" s="143"/>
      <c r="P130" s="143"/>
      <c r="Q130" s="143" t="s">
        <v>29</v>
      </c>
      <c r="R130" s="143" t="s">
        <v>29</v>
      </c>
      <c r="S130" s="147"/>
      <c r="T130" s="143"/>
      <c r="U130" s="143"/>
      <c r="V130" s="143"/>
      <c r="W130" s="143"/>
      <c r="X130" s="143"/>
      <c r="Y130" s="143"/>
      <c r="Z130" s="143"/>
      <c r="AA130" s="143"/>
      <c r="AB130" s="143"/>
      <c r="AC130" s="143"/>
      <c r="AD130" s="153"/>
      <c r="AE130" s="153"/>
      <c r="AF130" s="143"/>
      <c r="AG130" s="155"/>
      <c r="AH130" s="147" t="s">
        <v>26</v>
      </c>
      <c r="AI130" s="146" t="s">
        <v>69</v>
      </c>
      <c r="AJ130" s="146" t="s">
        <v>1432</v>
      </c>
      <c r="AK130" s="146" t="s">
        <v>292</v>
      </c>
      <c r="AL130" s="146" t="s">
        <v>134</v>
      </c>
      <c r="AM130" s="143" t="s">
        <v>57</v>
      </c>
      <c r="AN130" s="143">
        <v>10</v>
      </c>
      <c r="AO130" s="143"/>
      <c r="AP130" s="152"/>
      <c r="AQ130" s="153"/>
      <c r="AR130" s="153"/>
      <c r="AS130" s="153"/>
      <c r="AT130" s="153"/>
      <c r="AU130" s="154"/>
      <c r="AV130" s="153" t="s">
        <v>1028</v>
      </c>
      <c r="AW130" s="153" t="s">
        <v>106</v>
      </c>
      <c r="AX130" s="153" t="s">
        <v>106</v>
      </c>
      <c r="AY130" s="153" t="s">
        <v>106</v>
      </c>
      <c r="AZ130" s="153" t="s">
        <v>73</v>
      </c>
      <c r="BA130" s="154" t="s">
        <v>73</v>
      </c>
      <c r="BB130" s="152">
        <v>731007</v>
      </c>
      <c r="BC130" s="153">
        <v>731007</v>
      </c>
      <c r="BD130" s="153">
        <v>731007</v>
      </c>
      <c r="BE130" s="153">
        <v>731007</v>
      </c>
      <c r="BF130" s="157">
        <v>330425</v>
      </c>
      <c r="BG130" s="157"/>
      <c r="BH130" s="155"/>
      <c r="BI130" s="152">
        <v>212369</v>
      </c>
      <c r="BJ130" s="153">
        <v>160760</v>
      </c>
      <c r="BK130" s="153" t="s">
        <v>920</v>
      </c>
      <c r="BL130" s="153" t="s">
        <v>920</v>
      </c>
      <c r="BM130" s="153" t="s">
        <v>920</v>
      </c>
      <c r="BN130" s="154">
        <f>SUMIF(BI130:BM130,"&gt;0",BI130:BM130)</f>
        <v>373129</v>
      </c>
      <c r="BO130" s="156"/>
      <c r="BP130" s="148"/>
      <c r="BQ130" s="153"/>
      <c r="BR130" s="153"/>
      <c r="BS130" s="156" t="s">
        <v>1096</v>
      </c>
      <c r="BT130" s="148" t="s">
        <v>1096</v>
      </c>
      <c r="BU130" s="148" t="s">
        <v>1096</v>
      </c>
      <c r="BV130" s="148" t="s">
        <v>1096</v>
      </c>
      <c r="BW130" s="148" t="s">
        <v>1096</v>
      </c>
      <c r="BX130" s="154">
        <f>SUM(BS130:BW130)</f>
        <v>0</v>
      </c>
      <c r="BY130" s="143" t="e">
        <f>BI130/BS130</f>
        <v>#VALUE!</v>
      </c>
      <c r="BZ130" s="143" t="e">
        <f>BJ130/BT130</f>
        <v>#VALUE!</v>
      </c>
      <c r="CA130" s="143" t="e">
        <f>BK130/BU130</f>
        <v>#VALUE!</v>
      </c>
      <c r="CB130" s="143" t="e">
        <f>BL130/BV130</f>
        <v>#VALUE!</v>
      </c>
      <c r="CC130" s="143" t="e">
        <f>BM130/BW130</f>
        <v>#VALUE!</v>
      </c>
      <c r="CD130" s="143" t="e">
        <f>AVERAGE(BY130:CC130)</f>
        <v>#VALUE!</v>
      </c>
    </row>
    <row r="131" spans="1:82" ht="14.5">
      <c r="A131" s="143" t="s">
        <v>437</v>
      </c>
      <c r="B131" s="143" t="s">
        <v>1521</v>
      </c>
      <c r="C131" s="144" t="s">
        <v>1522</v>
      </c>
      <c r="D131" s="144" t="s">
        <v>1225</v>
      </c>
      <c r="E131" s="145" t="s">
        <v>728</v>
      </c>
      <c r="F131" s="143" t="str">
        <f>SUBSTITUTE(E131," ","")</f>
        <v>54127535755</v>
      </c>
      <c r="G131" s="143" t="s">
        <v>1118</v>
      </c>
      <c r="H131" s="143" t="s">
        <v>31</v>
      </c>
      <c r="I131" s="143">
        <v>2333</v>
      </c>
      <c r="J131" s="143">
        <v>-32.261856999999999</v>
      </c>
      <c r="K131" s="143">
        <v>150.83935600000001</v>
      </c>
      <c r="L131" s="143" t="s">
        <v>292</v>
      </c>
      <c r="M131" s="143" t="s">
        <v>292</v>
      </c>
      <c r="N131" s="143" t="s">
        <v>292</v>
      </c>
      <c r="O131" s="143"/>
      <c r="P131" s="143"/>
      <c r="Q131" s="143" t="s">
        <v>29</v>
      </c>
      <c r="R131" s="143" t="s">
        <v>29</v>
      </c>
      <c r="S131" s="147"/>
      <c r="T131" s="143"/>
      <c r="U131" s="143"/>
      <c r="V131" s="143"/>
      <c r="W131" s="143"/>
      <c r="X131" s="143"/>
      <c r="Y131" s="143"/>
      <c r="Z131" s="143"/>
      <c r="AA131" s="143"/>
      <c r="AB131" s="143"/>
      <c r="AC131" s="143"/>
      <c r="AD131" s="153"/>
      <c r="AE131" s="153"/>
      <c r="AF131" s="143"/>
      <c r="AG131" s="155"/>
      <c r="AH131" s="147" t="s">
        <v>26</v>
      </c>
      <c r="AI131" s="146" t="s">
        <v>36</v>
      </c>
      <c r="AJ131" s="146" t="s">
        <v>1111</v>
      </c>
      <c r="AK131" s="146" t="s">
        <v>21</v>
      </c>
      <c r="AL131" s="143" t="s">
        <v>134</v>
      </c>
      <c r="AM131" s="143" t="s">
        <v>27</v>
      </c>
      <c r="AN131" s="143">
        <v>5</v>
      </c>
      <c r="AO131" s="143"/>
      <c r="AP131" s="152"/>
      <c r="AQ131" s="153"/>
      <c r="AR131" s="153"/>
      <c r="AS131" s="153"/>
      <c r="AT131" s="153"/>
      <c r="AU131" s="154"/>
      <c r="AV131" s="153" t="s">
        <v>106</v>
      </c>
      <c r="AW131" s="153" t="s">
        <v>106</v>
      </c>
      <c r="AX131" s="153" t="s">
        <v>106</v>
      </c>
      <c r="AY131" s="153" t="s">
        <v>106</v>
      </c>
      <c r="AZ131" s="153" t="s">
        <v>73</v>
      </c>
      <c r="BA131" s="154" t="s">
        <v>73</v>
      </c>
      <c r="BB131" s="152">
        <v>274856</v>
      </c>
      <c r="BC131" s="153">
        <v>274856</v>
      </c>
      <c r="BD131" s="153">
        <v>274856</v>
      </c>
      <c r="BE131" s="157">
        <v>274856</v>
      </c>
      <c r="BF131" s="157">
        <v>122507</v>
      </c>
      <c r="BG131" s="157"/>
      <c r="BH131" s="155"/>
      <c r="BI131" s="152">
        <v>116801</v>
      </c>
      <c r="BJ131" s="153" t="s">
        <v>920</v>
      </c>
      <c r="BK131" s="153">
        <v>119422</v>
      </c>
      <c r="BL131" s="153">
        <v>123435</v>
      </c>
      <c r="BM131" s="153" t="s">
        <v>920</v>
      </c>
      <c r="BN131" s="154">
        <f>SUMIF(BI131:BM131,"&gt;0",BI131:BM131)</f>
        <v>359658</v>
      </c>
      <c r="BO131" s="156">
        <v>193431</v>
      </c>
      <c r="BP131" s="148">
        <v>193431</v>
      </c>
      <c r="BQ131" s="153">
        <v>193431</v>
      </c>
      <c r="BR131" s="153">
        <v>193431</v>
      </c>
      <c r="BS131" s="152">
        <v>11302377</v>
      </c>
      <c r="BT131" s="148">
        <v>13310870</v>
      </c>
      <c r="BU131" s="148">
        <v>12920522</v>
      </c>
      <c r="BV131" s="148">
        <v>9373538</v>
      </c>
      <c r="BW131" s="148">
        <v>8028889</v>
      </c>
      <c r="BX131" s="154">
        <f>SUM(BS131:BW131)</f>
        <v>54936196</v>
      </c>
      <c r="BY131" s="143">
        <f>BI131/BS131</f>
        <v>1.0334197841746032E-2</v>
      </c>
      <c r="BZ131" s="143" t="e">
        <f>BJ131/BT131</f>
        <v>#VALUE!</v>
      </c>
      <c r="CA131" s="143">
        <f>BK131/BU131</f>
        <v>9.2428154218536993E-3</v>
      </c>
      <c r="CB131" s="143">
        <f>BL131/BV131</f>
        <v>1.3168453576440401E-2</v>
      </c>
      <c r="CC131" s="143" t="e">
        <f>BM131/BW131</f>
        <v>#VALUE!</v>
      </c>
      <c r="CD131" s="143" t="e">
        <f>AVERAGE(BY131:CC131)</f>
        <v>#VALUE!</v>
      </c>
    </row>
    <row r="132" spans="1:82" ht="14.5">
      <c r="A132" s="143" t="s">
        <v>441</v>
      </c>
      <c r="B132" s="143" t="s">
        <v>1526</v>
      </c>
      <c r="C132" s="144" t="s">
        <v>1527</v>
      </c>
      <c r="D132" s="144" t="s">
        <v>1225</v>
      </c>
      <c r="E132" s="145" t="s">
        <v>731</v>
      </c>
      <c r="F132" s="143" t="str">
        <f>SUBSTITUTE(E132," ","")</f>
        <v>90008167815</v>
      </c>
      <c r="G132" s="143" t="s">
        <v>1528</v>
      </c>
      <c r="H132" s="143" t="s">
        <v>42</v>
      </c>
      <c r="I132" s="143">
        <v>852</v>
      </c>
      <c r="J132" s="143">
        <v>-16.434702000000001</v>
      </c>
      <c r="K132" s="143">
        <v>136.088527</v>
      </c>
      <c r="L132" s="143">
        <v>1995</v>
      </c>
      <c r="M132" s="143">
        <v>27</v>
      </c>
      <c r="N132" s="143">
        <v>2038</v>
      </c>
      <c r="O132" s="143"/>
      <c r="P132" s="143"/>
      <c r="Q132" s="143" t="s">
        <v>227</v>
      </c>
      <c r="R132" s="143" t="s">
        <v>79</v>
      </c>
      <c r="S132" s="147"/>
      <c r="T132" s="143"/>
      <c r="U132" s="143"/>
      <c r="V132" s="143"/>
      <c r="W132" s="143"/>
      <c r="X132" s="143"/>
      <c r="Y132" s="143"/>
      <c r="Z132" s="143"/>
      <c r="AA132" s="143"/>
      <c r="AB132" s="143"/>
      <c r="AC132" s="143"/>
      <c r="AD132" s="153"/>
      <c r="AE132" s="153"/>
      <c r="AF132" s="143"/>
      <c r="AG132" s="155"/>
      <c r="AH132" s="150" t="s">
        <v>37</v>
      </c>
      <c r="AI132" s="151" t="s">
        <v>76</v>
      </c>
      <c r="AJ132" s="151" t="s">
        <v>70</v>
      </c>
      <c r="AK132" s="151" t="s">
        <v>70</v>
      </c>
      <c r="AL132" s="151" t="s">
        <v>118</v>
      </c>
      <c r="AM132" s="151" t="s">
        <v>70</v>
      </c>
      <c r="AN132" s="151" t="s">
        <v>70</v>
      </c>
      <c r="AO132" s="151" t="s">
        <v>70</v>
      </c>
      <c r="AP132" s="152"/>
      <c r="AQ132" s="153"/>
      <c r="AR132" s="153"/>
      <c r="AS132" s="153"/>
      <c r="AT132" s="153"/>
      <c r="AU132" s="154"/>
      <c r="AV132" s="153" t="s">
        <v>114</v>
      </c>
      <c r="AW132" s="153" t="s">
        <v>114</v>
      </c>
      <c r="AX132" s="153" t="s">
        <v>114</v>
      </c>
      <c r="AY132" s="153" t="s">
        <v>73</v>
      </c>
      <c r="AZ132" s="153" t="s">
        <v>73</v>
      </c>
      <c r="BA132" s="154" t="s">
        <v>73</v>
      </c>
      <c r="BB132" s="152" t="s">
        <v>114</v>
      </c>
      <c r="BC132" s="153" t="s">
        <v>114</v>
      </c>
      <c r="BD132" s="153" t="s">
        <v>114</v>
      </c>
      <c r="BE132" s="157">
        <v>126141</v>
      </c>
      <c r="BF132" s="153">
        <v>126141</v>
      </c>
      <c r="BG132" s="157"/>
      <c r="BH132" s="155"/>
      <c r="BI132" s="152" t="s">
        <v>920</v>
      </c>
      <c r="BJ132" s="153" t="s">
        <v>920</v>
      </c>
      <c r="BK132" s="153" t="s">
        <v>920</v>
      </c>
      <c r="BL132" s="153">
        <v>111817</v>
      </c>
      <c r="BM132" s="153">
        <v>114423</v>
      </c>
      <c r="BN132" s="154">
        <f>SUMIF(BI132:BM132,"&gt;0",BI132:BM132)</f>
        <v>226240</v>
      </c>
      <c r="BO132" s="156"/>
      <c r="BP132" s="148"/>
      <c r="BQ132" s="153"/>
      <c r="BR132" s="153"/>
      <c r="BS132" s="152"/>
      <c r="BT132" s="148"/>
      <c r="BU132" s="148"/>
      <c r="BV132" s="148"/>
      <c r="BW132" s="148"/>
      <c r="BX132" s="154">
        <f>SUM(BS132:BW132)</f>
        <v>0</v>
      </c>
      <c r="BY132" s="143"/>
      <c r="BZ132" s="143"/>
      <c r="CA132" s="143"/>
      <c r="CB132" s="143"/>
      <c r="CC132" s="143"/>
      <c r="CD132" s="143"/>
    </row>
    <row r="133" spans="1:82" ht="14.5">
      <c r="A133" s="143" t="s">
        <v>572</v>
      </c>
      <c r="B133" s="143"/>
      <c r="C133" s="144"/>
      <c r="D133" s="144" t="s">
        <v>1225</v>
      </c>
      <c r="E133" s="145" t="s">
        <v>1976</v>
      </c>
      <c r="F133" s="143" t="str">
        <f>SUBSTITUTE(E133," ","")</f>
        <v>80000189248</v>
      </c>
      <c r="G133" s="143" t="s">
        <v>1554</v>
      </c>
      <c r="H133" s="143" t="s">
        <v>31</v>
      </c>
      <c r="I133" s="143">
        <v>2850</v>
      </c>
      <c r="J133" s="143">
        <v>-32.239094000000001</v>
      </c>
      <c r="K133" s="143">
        <v>149.74696800000001</v>
      </c>
      <c r="L133" s="143" t="s">
        <v>292</v>
      </c>
      <c r="M133" s="143" t="s">
        <v>292</v>
      </c>
      <c r="N133" s="143" t="s">
        <v>292</v>
      </c>
      <c r="O133" s="143"/>
      <c r="P133" s="143"/>
      <c r="Q133" s="143" t="s">
        <v>29</v>
      </c>
      <c r="R133" s="143" t="s">
        <v>29</v>
      </c>
      <c r="S133" s="147"/>
      <c r="T133" s="143"/>
      <c r="U133" s="143"/>
      <c r="V133" s="143"/>
      <c r="W133" s="143"/>
      <c r="X133" s="143"/>
      <c r="Y133" s="143"/>
      <c r="Z133" s="143"/>
      <c r="AA133" s="143"/>
      <c r="AB133" s="143"/>
      <c r="AC133" s="143"/>
      <c r="AD133" s="153"/>
      <c r="AE133" s="153"/>
      <c r="AF133" s="143"/>
      <c r="AG133" s="155"/>
      <c r="AH133" s="147" t="s">
        <v>26</v>
      </c>
      <c r="AI133" s="146" t="s">
        <v>36</v>
      </c>
      <c r="AJ133" s="146" t="s">
        <v>1111</v>
      </c>
      <c r="AK133" s="146" t="s">
        <v>33</v>
      </c>
      <c r="AL133" s="146" t="s">
        <v>1977</v>
      </c>
      <c r="AM133" s="143"/>
      <c r="AN133" s="143"/>
      <c r="AO133" s="143"/>
      <c r="AP133" s="152"/>
      <c r="AQ133" s="153"/>
      <c r="AR133" s="153"/>
      <c r="AS133" s="153"/>
      <c r="AT133" s="153"/>
      <c r="AU133" s="154"/>
      <c r="AV133" s="153" t="s">
        <v>106</v>
      </c>
      <c r="AW133" s="153" t="s">
        <v>106</v>
      </c>
      <c r="AX133" s="153" t="s">
        <v>106</v>
      </c>
      <c r="AY133" s="153" t="s">
        <v>106</v>
      </c>
      <c r="AZ133" s="153" t="s">
        <v>106</v>
      </c>
      <c r="BA133" s="154" t="s">
        <v>114</v>
      </c>
      <c r="BB133" s="152">
        <v>123668</v>
      </c>
      <c r="BC133" s="153">
        <v>123668</v>
      </c>
      <c r="BD133" s="153">
        <v>123668</v>
      </c>
      <c r="BE133" s="153">
        <v>123668</v>
      </c>
      <c r="BF133" s="153">
        <v>123668</v>
      </c>
      <c r="BG133" s="157"/>
      <c r="BH133" s="155"/>
      <c r="BI133" s="152" t="s">
        <v>920</v>
      </c>
      <c r="BJ133" s="153" t="s">
        <v>920</v>
      </c>
      <c r="BK133" s="165">
        <v>59805</v>
      </c>
      <c r="BL133" s="165">
        <v>40416</v>
      </c>
      <c r="BM133" s="165">
        <v>41154</v>
      </c>
      <c r="BN133" s="154">
        <f>SUMIF(BI133:BM133,"&gt;0",BI133:BM133)</f>
        <v>141375</v>
      </c>
      <c r="BO133" s="156"/>
      <c r="BP133" s="148"/>
      <c r="BQ133" s="153"/>
      <c r="BR133" s="153"/>
      <c r="BS133" s="158">
        <v>10540839</v>
      </c>
      <c r="BT133" s="165">
        <v>12178894</v>
      </c>
      <c r="BU133" s="165">
        <v>12623841</v>
      </c>
      <c r="BV133" s="165">
        <v>11166859</v>
      </c>
      <c r="BW133" s="165">
        <v>12511000</v>
      </c>
      <c r="BX133" s="154">
        <f>SUM(BS133:BW133)</f>
        <v>59021433</v>
      </c>
      <c r="BY133" s="143" t="e">
        <f>BI133/BS133</f>
        <v>#VALUE!</v>
      </c>
      <c r="BZ133" s="143" t="e">
        <f>BJ133/BT133</f>
        <v>#VALUE!</v>
      </c>
      <c r="CA133" s="143">
        <f>BK133/BU133</f>
        <v>4.73746461160276E-3</v>
      </c>
      <c r="CB133" s="143">
        <f>BL133/BV133</f>
        <v>3.619280945519237E-3</v>
      </c>
      <c r="CC133" s="143">
        <f>BM133/BW133</f>
        <v>3.2894253057309569E-3</v>
      </c>
      <c r="CD133" s="143" t="e">
        <f>AVERAGE(BY133:CC133)</f>
        <v>#VALUE!</v>
      </c>
    </row>
    <row r="134" spans="1:82" ht="14.5">
      <c r="A134" s="143" t="s">
        <v>587</v>
      </c>
      <c r="B134" s="143" t="s">
        <v>2016</v>
      </c>
      <c r="C134" s="144" t="s">
        <v>2017</v>
      </c>
      <c r="D134" s="144" t="s">
        <v>1225</v>
      </c>
      <c r="E134" s="145" t="s">
        <v>2018</v>
      </c>
      <c r="F134" s="143" t="str">
        <f>SUBSTITUTE(E134," ","")</f>
        <v>39003856782</v>
      </c>
      <c r="G134" s="143" t="s">
        <v>2019</v>
      </c>
      <c r="H134" s="143" t="s">
        <v>31</v>
      </c>
      <c r="I134" s="143">
        <v>2284</v>
      </c>
      <c r="J134" s="143">
        <v>-32.93394</v>
      </c>
      <c r="K134" s="143">
        <v>151.56704099999999</v>
      </c>
      <c r="L134" s="143" t="s">
        <v>292</v>
      </c>
      <c r="M134" s="143" t="s">
        <v>292</v>
      </c>
      <c r="N134" s="143" t="s">
        <v>292</v>
      </c>
      <c r="O134" s="143" t="s">
        <v>46</v>
      </c>
      <c r="P134" s="143" t="s">
        <v>2020</v>
      </c>
      <c r="Q134" s="143" t="s">
        <v>29</v>
      </c>
      <c r="R134" s="143" t="s">
        <v>29</v>
      </c>
      <c r="S134" s="147"/>
      <c r="T134" s="143"/>
      <c r="U134" s="143"/>
      <c r="V134" s="143"/>
      <c r="W134" s="143"/>
      <c r="X134" s="143"/>
      <c r="Y134" s="143"/>
      <c r="Z134" s="143"/>
      <c r="AA134" s="143"/>
      <c r="AB134" s="143"/>
      <c r="AC134" s="143"/>
      <c r="AD134" s="153"/>
      <c r="AE134" s="153"/>
      <c r="AF134" s="143"/>
      <c r="AG134" s="155"/>
      <c r="AH134" s="147" t="s">
        <v>26</v>
      </c>
      <c r="AI134" s="151" t="s">
        <v>76</v>
      </c>
      <c r="AJ134" s="146" t="s">
        <v>70</v>
      </c>
      <c r="AK134" s="146" t="s">
        <v>33</v>
      </c>
      <c r="AL134" s="146" t="s">
        <v>134</v>
      </c>
      <c r="AM134" s="143"/>
      <c r="AN134" s="143"/>
      <c r="AO134" s="143"/>
      <c r="AP134" s="152"/>
      <c r="AQ134" s="153"/>
      <c r="AR134" s="153"/>
      <c r="AS134" s="153"/>
      <c r="AT134" s="153"/>
      <c r="AU134" s="154"/>
      <c r="AV134" s="153" t="s">
        <v>106</v>
      </c>
      <c r="AW134" s="153" t="s">
        <v>106</v>
      </c>
      <c r="AX134" s="153" t="s">
        <v>106</v>
      </c>
      <c r="AY134" s="153" t="s">
        <v>106</v>
      </c>
      <c r="AZ134" s="153" t="s">
        <v>106</v>
      </c>
      <c r="BA134" s="154" t="s">
        <v>114</v>
      </c>
      <c r="BB134" s="152">
        <v>314828</v>
      </c>
      <c r="BC134" s="153">
        <v>314828</v>
      </c>
      <c r="BD134" s="153">
        <v>314828</v>
      </c>
      <c r="BE134" s="153">
        <v>314828</v>
      </c>
      <c r="BF134" s="153">
        <v>314828</v>
      </c>
      <c r="BG134" s="157"/>
      <c r="BH134" s="155"/>
      <c r="BI134" s="152" t="s">
        <v>920</v>
      </c>
      <c r="BJ134" s="153" t="s">
        <v>920</v>
      </c>
      <c r="BK134" s="153" t="s">
        <v>920</v>
      </c>
      <c r="BL134" s="153" t="s">
        <v>920</v>
      </c>
      <c r="BM134" s="153" t="s">
        <v>920</v>
      </c>
      <c r="BN134" s="154">
        <f>SUMIF(BI134:BM134,"&gt;0",BI134:BM134)</f>
        <v>0</v>
      </c>
      <c r="BO134" s="156"/>
      <c r="BP134" s="148"/>
      <c r="BQ134" s="153"/>
      <c r="BR134" s="153"/>
      <c r="BS134" s="156" t="s">
        <v>1096</v>
      </c>
      <c r="BT134" s="148" t="s">
        <v>1096</v>
      </c>
      <c r="BU134" s="148" t="s">
        <v>1096</v>
      </c>
      <c r="BV134" s="148" t="s">
        <v>1096</v>
      </c>
      <c r="BW134" s="148" t="s">
        <v>1096</v>
      </c>
      <c r="BX134" s="154">
        <f>SUM(BS134:BW134)</f>
        <v>0</v>
      </c>
      <c r="BY134" s="143" t="e">
        <f>BI134/BS134</f>
        <v>#VALUE!</v>
      </c>
      <c r="BZ134" s="143" t="e">
        <f>BJ134/BT134</f>
        <v>#VALUE!</v>
      </c>
      <c r="CA134" s="143" t="e">
        <f>BK134/BU134</f>
        <v>#VALUE!</v>
      </c>
      <c r="CB134" s="143" t="e">
        <f>BL134/BV134</f>
        <v>#VALUE!</v>
      </c>
      <c r="CC134" s="143" t="e">
        <f>BM134/BW134</f>
        <v>#VALUE!</v>
      </c>
      <c r="CD134" s="143" t="e">
        <f>AVERAGE(BY134:CC134)</f>
        <v>#VALUE!</v>
      </c>
    </row>
    <row r="135" spans="1:82" ht="14.5">
      <c r="A135" s="143" t="s">
        <v>488</v>
      </c>
      <c r="B135" s="143" t="s">
        <v>1684</v>
      </c>
      <c r="C135" s="144" t="s">
        <v>774</v>
      </c>
      <c r="D135" s="144" t="s">
        <v>1685</v>
      </c>
      <c r="E135" s="145" t="s">
        <v>775</v>
      </c>
      <c r="F135" s="143" t="str">
        <f>SUBSTITUTE(E135," ","")</f>
        <v>31128109062</v>
      </c>
      <c r="G135" s="143" t="s">
        <v>1686</v>
      </c>
      <c r="H135" s="143" t="s">
        <v>53</v>
      </c>
      <c r="I135" s="143">
        <v>4709</v>
      </c>
      <c r="J135" s="143">
        <v>-23.073</v>
      </c>
      <c r="K135" s="143">
        <v>148.48400000000001</v>
      </c>
      <c r="L135" s="143">
        <v>1982</v>
      </c>
      <c r="M135" s="143">
        <v>40</v>
      </c>
      <c r="N135" s="143">
        <v>2030</v>
      </c>
      <c r="O135" s="143"/>
      <c r="P135" s="143"/>
      <c r="Q135" s="143" t="s">
        <v>29</v>
      </c>
      <c r="R135" s="143" t="s">
        <v>29</v>
      </c>
      <c r="S135" s="147" t="s">
        <v>612</v>
      </c>
      <c r="T135" s="143">
        <v>2</v>
      </c>
      <c r="U135" s="143" t="s">
        <v>1687</v>
      </c>
      <c r="V135" s="143" t="s">
        <v>1688</v>
      </c>
      <c r="W135" s="143" t="s">
        <v>1040</v>
      </c>
      <c r="X135" s="143" t="s">
        <v>1041</v>
      </c>
      <c r="Y135" s="143" t="s">
        <v>1689</v>
      </c>
      <c r="Z135" s="143" t="s">
        <v>1690</v>
      </c>
      <c r="AA135" s="143" t="s">
        <v>1691</v>
      </c>
      <c r="AB135" s="153">
        <v>428132</v>
      </c>
      <c r="AC135" s="153" t="s">
        <v>1692</v>
      </c>
      <c r="AD135" s="153">
        <v>26576</v>
      </c>
      <c r="AE135" s="153">
        <v>26576</v>
      </c>
      <c r="AF135" s="143" t="s">
        <v>1045</v>
      </c>
      <c r="AG135" s="155"/>
      <c r="AH135" s="147" t="s">
        <v>26</v>
      </c>
      <c r="AI135" s="146" t="s">
        <v>25</v>
      </c>
      <c r="AJ135" s="146" t="s">
        <v>1693</v>
      </c>
      <c r="AK135" s="146" t="s">
        <v>33</v>
      </c>
      <c r="AL135" s="143" t="s">
        <v>43</v>
      </c>
      <c r="AM135" s="143"/>
      <c r="AN135" s="143"/>
      <c r="AO135" s="143"/>
      <c r="AP135" s="152"/>
      <c r="AQ135" s="153"/>
      <c r="AR135" s="153"/>
      <c r="AS135" s="153"/>
      <c r="AT135" s="153"/>
      <c r="AU135" s="154"/>
      <c r="AV135" s="153" t="s">
        <v>1028</v>
      </c>
      <c r="AW135" s="153" t="s">
        <v>106</v>
      </c>
      <c r="AX135" s="153" t="s">
        <v>106</v>
      </c>
      <c r="AY135" s="153" t="s">
        <v>106</v>
      </c>
      <c r="AZ135" s="153" t="s">
        <v>73</v>
      </c>
      <c r="BA135" s="154" t="s">
        <v>73</v>
      </c>
      <c r="BB135" s="152">
        <v>2235926</v>
      </c>
      <c r="BC135" s="153">
        <v>2235926</v>
      </c>
      <c r="BD135" s="153">
        <v>2235926</v>
      </c>
      <c r="BE135" s="157">
        <v>2235926</v>
      </c>
      <c r="BF135" s="157">
        <v>871315</v>
      </c>
      <c r="BG135" s="157"/>
      <c r="BH135" s="155"/>
      <c r="BI135" s="152">
        <v>1430030</v>
      </c>
      <c r="BJ135" s="153">
        <v>1048299</v>
      </c>
      <c r="BK135" s="153">
        <v>1137543</v>
      </c>
      <c r="BL135" s="153">
        <v>1227828</v>
      </c>
      <c r="BM135" s="153">
        <v>778695</v>
      </c>
      <c r="BN135" s="154">
        <f>SUMIF(BI135:BM135,"&gt;0",BI135:BM135)</f>
        <v>5622395</v>
      </c>
      <c r="BO135" s="156"/>
      <c r="BP135" s="148"/>
      <c r="BQ135" s="153"/>
      <c r="BR135" s="153"/>
      <c r="BS135" s="152">
        <v>4800000</v>
      </c>
      <c r="BT135" s="148">
        <v>4600000</v>
      </c>
      <c r="BU135" s="148">
        <v>5400000</v>
      </c>
      <c r="BV135" s="148">
        <v>4500000</v>
      </c>
      <c r="BW135" s="148">
        <v>3800000</v>
      </c>
      <c r="BX135" s="154">
        <f>SUM(BS135:BW135)</f>
        <v>23100000</v>
      </c>
      <c r="BY135" s="143">
        <f>BI135/BS135</f>
        <v>0.29792291666666665</v>
      </c>
      <c r="BZ135" s="143">
        <f>BJ135/BT135</f>
        <v>0.22789108695652174</v>
      </c>
      <c r="CA135" s="143">
        <f>BK135/BU135</f>
        <v>0.2106561111111111</v>
      </c>
      <c r="CB135" s="143">
        <f>BL135/BV135</f>
        <v>0.27285066666666669</v>
      </c>
      <c r="CC135" s="143">
        <f>BM135/BW135</f>
        <v>0.20491973684210527</v>
      </c>
      <c r="CD135" s="259">
        <f>AVERAGE(BY135:CC135)</f>
        <v>0.24284810364861431</v>
      </c>
    </row>
    <row r="136" spans="1:82" ht="14.5">
      <c r="A136" s="143" t="s">
        <v>526</v>
      </c>
      <c r="B136" s="143" t="s">
        <v>1824</v>
      </c>
      <c r="C136" s="144" t="s">
        <v>801</v>
      </c>
      <c r="D136" s="159" t="s">
        <v>1825</v>
      </c>
      <c r="E136" s="145" t="s">
        <v>802</v>
      </c>
      <c r="F136" s="143" t="str">
        <f>SUBSTITUTE(E136," ","")</f>
        <v>12098937761</v>
      </c>
      <c r="G136" s="143" t="s">
        <v>1826</v>
      </c>
      <c r="H136" s="143" t="s">
        <v>31</v>
      </c>
      <c r="I136" s="143">
        <v>2330</v>
      </c>
      <c r="J136" s="143">
        <v>-32.446666999999998</v>
      </c>
      <c r="K136" s="143">
        <v>151.02194399999999</v>
      </c>
      <c r="L136" s="143">
        <v>1972</v>
      </c>
      <c r="M136" s="143">
        <v>50</v>
      </c>
      <c r="N136" s="143">
        <v>2034</v>
      </c>
      <c r="O136" s="143"/>
      <c r="P136" s="143"/>
      <c r="Q136" s="143" t="s">
        <v>29</v>
      </c>
      <c r="R136" s="143" t="s">
        <v>29</v>
      </c>
      <c r="S136" s="147"/>
      <c r="T136" s="143"/>
      <c r="U136" s="143"/>
      <c r="V136" s="143"/>
      <c r="W136" s="143"/>
      <c r="X136" s="143"/>
      <c r="Y136" s="143"/>
      <c r="Z136" s="143"/>
      <c r="AA136" s="143"/>
      <c r="AB136" s="143"/>
      <c r="AC136" s="143"/>
      <c r="AD136" s="153"/>
      <c r="AE136" s="153"/>
      <c r="AF136" s="143"/>
      <c r="AG136" s="155"/>
      <c r="AH136" s="147" t="s">
        <v>26</v>
      </c>
      <c r="AI136" s="146" t="s">
        <v>69</v>
      </c>
      <c r="AJ136" s="146" t="s">
        <v>1630</v>
      </c>
      <c r="AK136" s="146" t="s">
        <v>21</v>
      </c>
      <c r="AL136" s="146" t="s">
        <v>134</v>
      </c>
      <c r="AM136" s="143"/>
      <c r="AN136" s="143"/>
      <c r="AO136" s="143"/>
      <c r="AP136" s="152"/>
      <c r="AQ136" s="153"/>
      <c r="AR136" s="153"/>
      <c r="AS136" s="153"/>
      <c r="AT136" s="153"/>
      <c r="AU136" s="154"/>
      <c r="AV136" s="153" t="s">
        <v>1028</v>
      </c>
      <c r="AW136" s="153" t="s">
        <v>106</v>
      </c>
      <c r="AX136" s="153" t="s">
        <v>106</v>
      </c>
      <c r="AY136" s="153" t="s">
        <v>106</v>
      </c>
      <c r="AZ136" s="153" t="s">
        <v>73</v>
      </c>
      <c r="BA136" s="154" t="s">
        <v>73</v>
      </c>
      <c r="BB136" s="152">
        <v>300435</v>
      </c>
      <c r="BC136" s="153">
        <v>300435</v>
      </c>
      <c r="BD136" s="153">
        <v>300435</v>
      </c>
      <c r="BE136" s="157">
        <v>300435</v>
      </c>
      <c r="BF136" s="157">
        <v>345281</v>
      </c>
      <c r="BG136" s="157"/>
      <c r="BH136" s="155"/>
      <c r="BI136" s="152">
        <v>257888</v>
      </c>
      <c r="BJ136" s="153">
        <v>243025</v>
      </c>
      <c r="BK136" s="153">
        <v>286458</v>
      </c>
      <c r="BL136" s="153">
        <v>291655</v>
      </c>
      <c r="BM136" s="153">
        <v>324204</v>
      </c>
      <c r="BN136" s="154">
        <f>SUMIF(BI136:BM136,"&gt;0",BI136:BM136)</f>
        <v>1403230</v>
      </c>
      <c r="BO136" s="156">
        <v>727209</v>
      </c>
      <c r="BP136" s="148">
        <v>727209</v>
      </c>
      <c r="BQ136" s="153">
        <v>727209</v>
      </c>
      <c r="BR136" s="153">
        <v>727209</v>
      </c>
      <c r="BS136" s="152">
        <v>11285000</v>
      </c>
      <c r="BT136" s="148">
        <v>13898000</v>
      </c>
      <c r="BU136" s="148">
        <v>14922000</v>
      </c>
      <c r="BV136" s="148">
        <v>13324000</v>
      </c>
      <c r="BW136" s="148">
        <v>12863000</v>
      </c>
      <c r="BX136" s="154">
        <f>SUM(BS136:BW136)</f>
        <v>66292000</v>
      </c>
      <c r="BY136" s="143">
        <f>BI136/BS136</f>
        <v>2.2852281789986707E-2</v>
      </c>
      <c r="BZ136" s="143">
        <f>BJ136/BT136</f>
        <v>1.7486328968196862E-2</v>
      </c>
      <c r="CA136" s="143">
        <f>BK136/BU136</f>
        <v>1.9197024527543224E-2</v>
      </c>
      <c r="CB136" s="143">
        <f>BL136/BV136</f>
        <v>2.1889447613329331E-2</v>
      </c>
      <c r="CC136" s="143">
        <f>BM136/BW136</f>
        <v>2.5204384669206249E-2</v>
      </c>
      <c r="CD136" s="143">
        <f>AVERAGE(BY136:CC136)</f>
        <v>2.1325893513652473E-2</v>
      </c>
    </row>
    <row r="137" spans="1:82" ht="14.5">
      <c r="A137" s="143" t="s">
        <v>527</v>
      </c>
      <c r="B137" s="143" t="s">
        <v>1827</v>
      </c>
      <c r="C137" s="144" t="s">
        <v>803</v>
      </c>
      <c r="D137" s="144" t="s">
        <v>1828</v>
      </c>
      <c r="E137" s="145" t="s">
        <v>804</v>
      </c>
      <c r="F137" s="143" t="str">
        <f>SUBSTITUTE(E137," ","")</f>
        <v>65106177708</v>
      </c>
      <c r="G137" s="143" t="s">
        <v>1487</v>
      </c>
      <c r="H137" s="143" t="s">
        <v>31</v>
      </c>
      <c r="I137" s="143">
        <v>2330</v>
      </c>
      <c r="J137" s="143">
        <v>-32.428806000000002</v>
      </c>
      <c r="K137" s="143">
        <v>151.05574999999999</v>
      </c>
      <c r="L137" s="143">
        <v>1972</v>
      </c>
      <c r="M137" s="143">
        <v>50</v>
      </c>
      <c r="N137" s="143">
        <v>0</v>
      </c>
      <c r="O137" s="143" t="s">
        <v>55</v>
      </c>
      <c r="P137" s="143" t="s">
        <v>1829</v>
      </c>
      <c r="Q137" s="143" t="s">
        <v>29</v>
      </c>
      <c r="R137" s="143" t="s">
        <v>29</v>
      </c>
      <c r="S137" s="147"/>
      <c r="T137" s="143"/>
      <c r="U137" s="143"/>
      <c r="V137" s="143"/>
      <c r="W137" s="143"/>
      <c r="X137" s="143"/>
      <c r="Y137" s="143"/>
      <c r="Z137" s="143"/>
      <c r="AA137" s="143"/>
      <c r="AB137" s="143"/>
      <c r="AC137" s="143"/>
      <c r="AD137" s="153"/>
      <c r="AE137" s="153"/>
      <c r="AF137" s="143"/>
      <c r="AG137" s="155"/>
      <c r="AH137" s="147" t="s">
        <v>26</v>
      </c>
      <c r="AI137" s="146" t="s">
        <v>69</v>
      </c>
      <c r="AJ137" s="146" t="s">
        <v>1830</v>
      </c>
      <c r="AK137" s="146" t="s">
        <v>33</v>
      </c>
      <c r="AL137" s="146" t="s">
        <v>134</v>
      </c>
      <c r="AM137" s="143"/>
      <c r="AN137" s="143"/>
      <c r="AO137" s="143"/>
      <c r="AP137" s="152"/>
      <c r="AQ137" s="153"/>
      <c r="AR137" s="153"/>
      <c r="AS137" s="153"/>
      <c r="AT137" s="153"/>
      <c r="AU137" s="154"/>
      <c r="AV137" s="153" t="s">
        <v>1028</v>
      </c>
      <c r="AW137" s="153" t="s">
        <v>106</v>
      </c>
      <c r="AX137" s="153" t="s">
        <v>106</v>
      </c>
      <c r="AY137" s="153" t="s">
        <v>106</v>
      </c>
      <c r="AZ137" s="153" t="s">
        <v>73</v>
      </c>
      <c r="BA137" s="154" t="s">
        <v>73</v>
      </c>
      <c r="BB137" s="152">
        <v>905509</v>
      </c>
      <c r="BC137" s="153">
        <v>905509</v>
      </c>
      <c r="BD137" s="153">
        <v>905509</v>
      </c>
      <c r="BE137" s="157">
        <v>905509</v>
      </c>
      <c r="BF137" s="157">
        <v>173779</v>
      </c>
      <c r="BG137" s="157"/>
      <c r="BH137" s="155"/>
      <c r="BI137" s="152">
        <v>204894</v>
      </c>
      <c r="BJ137" s="153">
        <v>194757</v>
      </c>
      <c r="BK137" s="153">
        <v>157630</v>
      </c>
      <c r="BL137" s="153">
        <v>155307</v>
      </c>
      <c r="BM137" s="153">
        <v>155993</v>
      </c>
      <c r="BN137" s="154">
        <f>SUMIF(BI137:BM137,"&gt;0",BI137:BM137)</f>
        <v>868581</v>
      </c>
      <c r="BO137" s="156">
        <v>860261</v>
      </c>
      <c r="BP137" s="148">
        <v>860261</v>
      </c>
      <c r="BQ137" s="153">
        <v>860261</v>
      </c>
      <c r="BR137" s="153">
        <v>860261</v>
      </c>
      <c r="BS137" s="152">
        <v>0</v>
      </c>
      <c r="BT137" s="153">
        <v>0</v>
      </c>
      <c r="BU137" s="153">
        <v>0</v>
      </c>
      <c r="BV137" s="153">
        <v>0</v>
      </c>
      <c r="BW137" s="153">
        <v>0</v>
      </c>
      <c r="BX137" s="154">
        <f>SUM(BS137:BW137)</f>
        <v>0</v>
      </c>
      <c r="BY137" s="143" t="e">
        <f>BI137/BS137</f>
        <v>#DIV/0!</v>
      </c>
      <c r="BZ137" s="143" t="e">
        <f>BJ137/BT137</f>
        <v>#DIV/0!</v>
      </c>
      <c r="CA137" s="143" t="e">
        <f>BK137/BU137</f>
        <v>#DIV/0!</v>
      </c>
      <c r="CB137" s="143" t="e">
        <f>BL137/BV137</f>
        <v>#DIV/0!</v>
      </c>
      <c r="CC137" s="143" t="e">
        <f>BM137/BW137</f>
        <v>#DIV/0!</v>
      </c>
      <c r="CD137" s="143" t="e">
        <f>AVERAGE(BY137:CC137)</f>
        <v>#DIV/0!</v>
      </c>
    </row>
    <row r="138" spans="1:82" ht="14.5">
      <c r="A138" s="143" t="s">
        <v>407</v>
      </c>
      <c r="B138" s="143" t="s">
        <v>1406</v>
      </c>
      <c r="C138" s="144" t="s">
        <v>699</v>
      </c>
      <c r="D138" s="159" t="s">
        <v>1407</v>
      </c>
      <c r="E138" s="145" t="s">
        <v>700</v>
      </c>
      <c r="F138" s="143" t="str">
        <f>SUBSTITUTE(E138," ","")</f>
        <v>59080002008</v>
      </c>
      <c r="G138" s="143" t="s">
        <v>1155</v>
      </c>
      <c r="H138" s="143" t="s">
        <v>53</v>
      </c>
      <c r="I138" s="143">
        <v>4742</v>
      </c>
      <c r="J138" s="143">
        <v>-21.488923</v>
      </c>
      <c r="K138" s="143">
        <v>148.369134</v>
      </c>
      <c r="L138" s="143">
        <v>2003</v>
      </c>
      <c r="M138" s="143">
        <v>19</v>
      </c>
      <c r="N138" s="143">
        <v>2040</v>
      </c>
      <c r="O138" s="143"/>
      <c r="P138" s="143"/>
      <c r="Q138" s="143" t="s">
        <v>29</v>
      </c>
      <c r="R138" s="143" t="s">
        <v>29</v>
      </c>
      <c r="S138" s="147"/>
      <c r="T138" s="143"/>
      <c r="U138" s="143"/>
      <c r="V138" s="143"/>
      <c r="W138" s="143"/>
      <c r="X138" s="143"/>
      <c r="Y138" s="143"/>
      <c r="Z138" s="143"/>
      <c r="AA138" s="143"/>
      <c r="AB138" s="143"/>
      <c r="AC138" s="143"/>
      <c r="AD138" s="153"/>
      <c r="AE138" s="153"/>
      <c r="AF138" s="143"/>
      <c r="AG138" s="155"/>
      <c r="AH138" s="147" t="s">
        <v>26</v>
      </c>
      <c r="AI138" s="146" t="s">
        <v>25</v>
      </c>
      <c r="AJ138" s="146" t="s">
        <v>1363</v>
      </c>
      <c r="AK138" s="146" t="s">
        <v>21</v>
      </c>
      <c r="AL138" s="143" t="s">
        <v>43</v>
      </c>
      <c r="AM138" s="143"/>
      <c r="AN138" s="143"/>
      <c r="AO138" s="143"/>
      <c r="AP138" s="152"/>
      <c r="AQ138" s="153"/>
      <c r="AR138" s="153"/>
      <c r="AS138" s="153"/>
      <c r="AT138" s="153"/>
      <c r="AU138" s="154"/>
      <c r="AV138" s="153" t="s">
        <v>1028</v>
      </c>
      <c r="AW138" s="153" t="s">
        <v>106</v>
      </c>
      <c r="AX138" s="153" t="s">
        <v>106</v>
      </c>
      <c r="AY138" s="153" t="s">
        <v>106</v>
      </c>
      <c r="AZ138" s="153" t="s">
        <v>73</v>
      </c>
      <c r="BA138" s="154" t="s">
        <v>73</v>
      </c>
      <c r="BB138" s="152">
        <v>591957</v>
      </c>
      <c r="BC138" s="153">
        <v>591957</v>
      </c>
      <c r="BD138" s="153">
        <v>591957</v>
      </c>
      <c r="BE138" s="157">
        <v>591957</v>
      </c>
      <c r="BF138" s="157">
        <v>587896</v>
      </c>
      <c r="BG138" s="157"/>
      <c r="BH138" s="155"/>
      <c r="BI138" s="152">
        <v>512257</v>
      </c>
      <c r="BJ138" s="153">
        <v>554126</v>
      </c>
      <c r="BK138" s="153">
        <v>498519</v>
      </c>
      <c r="BL138" s="153">
        <v>503591</v>
      </c>
      <c r="BM138" s="153">
        <v>539784</v>
      </c>
      <c r="BN138" s="154">
        <f>SUMIF(BI138:BM138,"&gt;0",BI138:BM138)</f>
        <v>2608277</v>
      </c>
      <c r="BO138" s="156"/>
      <c r="BP138" s="148"/>
      <c r="BQ138" s="153"/>
      <c r="BR138" s="153"/>
      <c r="BS138" s="152">
        <v>9381000</v>
      </c>
      <c r="BT138" s="148">
        <v>9360000</v>
      </c>
      <c r="BU138" s="148">
        <v>10359000</v>
      </c>
      <c r="BV138" s="148">
        <v>6787000</v>
      </c>
      <c r="BW138" s="148" t="s">
        <v>1096</v>
      </c>
      <c r="BX138" s="154">
        <f>SUM(BS138:BW138)</f>
        <v>35887000</v>
      </c>
      <c r="BY138" s="143">
        <f>BI138/BS138</f>
        <v>5.4605798955335252E-2</v>
      </c>
      <c r="BZ138" s="143">
        <f>BJ138/BT138</f>
        <v>5.9201495726495725E-2</v>
      </c>
      <c r="CA138" s="143">
        <f>BK138/BU138</f>
        <v>4.8124239791485668E-2</v>
      </c>
      <c r="CB138" s="143">
        <f>BL138/BV138</f>
        <v>7.4199351701782823E-2</v>
      </c>
      <c r="CC138" s="143" t="e">
        <f>BM138/BW138</f>
        <v>#VALUE!</v>
      </c>
      <c r="CD138" s="259" t="e">
        <f>AVERAGE(BY138:CC138)</f>
        <v>#VALUE!</v>
      </c>
    </row>
    <row r="139" spans="1:82" ht="14.5">
      <c r="A139" s="143" t="s">
        <v>434</v>
      </c>
      <c r="B139" s="143" t="s">
        <v>1508</v>
      </c>
      <c r="C139" s="144" t="s">
        <v>724</v>
      </c>
      <c r="D139" s="159" t="s">
        <v>1509</v>
      </c>
      <c r="E139" s="145" t="s">
        <v>725</v>
      </c>
      <c r="F139" s="143" t="str">
        <f>SUBSTITUTE(E139," ","")</f>
        <v>40058857882</v>
      </c>
      <c r="G139" s="143" t="s">
        <v>1487</v>
      </c>
      <c r="H139" s="143" t="s">
        <v>31</v>
      </c>
      <c r="I139" s="143">
        <v>2330</v>
      </c>
      <c r="J139" s="143">
        <v>-32.375343000000001</v>
      </c>
      <c r="K139" s="143">
        <v>151.02495099999999</v>
      </c>
      <c r="L139" s="143" t="s">
        <v>292</v>
      </c>
      <c r="M139" s="143" t="s">
        <v>292</v>
      </c>
      <c r="N139" s="143" t="s">
        <v>292</v>
      </c>
      <c r="O139" s="143"/>
      <c r="P139" s="143"/>
      <c r="Q139" s="143" t="s">
        <v>29</v>
      </c>
      <c r="R139" s="143" t="s">
        <v>29</v>
      </c>
      <c r="S139" s="147"/>
      <c r="T139" s="143"/>
      <c r="U139" s="143"/>
      <c r="V139" s="143"/>
      <c r="W139" s="143"/>
      <c r="X139" s="143"/>
      <c r="Y139" s="143"/>
      <c r="Z139" s="143"/>
      <c r="AA139" s="143"/>
      <c r="AB139" s="143"/>
      <c r="AC139" s="143"/>
      <c r="AD139" s="153"/>
      <c r="AE139" s="153"/>
      <c r="AF139" s="143"/>
      <c r="AG139" s="155"/>
      <c r="AH139" s="147" t="s">
        <v>26</v>
      </c>
      <c r="AI139" s="146" t="s">
        <v>69</v>
      </c>
      <c r="AJ139" s="146" t="s">
        <v>1510</v>
      </c>
      <c r="AK139" s="146" t="s">
        <v>21</v>
      </c>
      <c r="AL139" s="143" t="s">
        <v>134</v>
      </c>
      <c r="AM139" s="143"/>
      <c r="AN139" s="143"/>
      <c r="AO139" s="143"/>
      <c r="AP139" s="152"/>
      <c r="AQ139" s="153"/>
      <c r="AR139" s="153"/>
      <c r="AS139" s="153"/>
      <c r="AT139" s="153"/>
      <c r="AU139" s="154"/>
      <c r="AV139" s="153" t="s">
        <v>1028</v>
      </c>
      <c r="AW139" s="153" t="s">
        <v>106</v>
      </c>
      <c r="AX139" s="153" t="s">
        <v>106</v>
      </c>
      <c r="AY139" s="153" t="s">
        <v>106</v>
      </c>
      <c r="AZ139" s="153" t="s">
        <v>18</v>
      </c>
      <c r="BA139" s="154" t="s">
        <v>18</v>
      </c>
      <c r="BB139" s="152">
        <v>456442</v>
      </c>
      <c r="BC139" s="153">
        <v>456442</v>
      </c>
      <c r="BD139" s="153">
        <v>456442</v>
      </c>
      <c r="BE139" s="157">
        <v>456442</v>
      </c>
      <c r="BF139" s="157">
        <v>176827</v>
      </c>
      <c r="BG139" s="157"/>
      <c r="BH139" s="155"/>
      <c r="BI139" s="152">
        <v>172739</v>
      </c>
      <c r="BJ139" s="153">
        <v>171343</v>
      </c>
      <c r="BK139" s="153">
        <v>186233</v>
      </c>
      <c r="BL139" s="153">
        <v>174805</v>
      </c>
      <c r="BM139" s="153">
        <v>168540</v>
      </c>
      <c r="BN139" s="154">
        <f>SUMIF(BI139:BM139,"&gt;0",BI139:BM139)</f>
        <v>873660</v>
      </c>
      <c r="BO139" s="156">
        <v>442290</v>
      </c>
      <c r="BP139" s="148">
        <v>442290</v>
      </c>
      <c r="BQ139" s="153">
        <v>442290</v>
      </c>
      <c r="BR139" s="153">
        <v>442290</v>
      </c>
      <c r="BS139" s="152">
        <v>4259086</v>
      </c>
      <c r="BT139" s="148">
        <v>5933351</v>
      </c>
      <c r="BU139" s="148">
        <v>5863647</v>
      </c>
      <c r="BV139" s="148">
        <v>5746444</v>
      </c>
      <c r="BW139" s="148">
        <v>4986000</v>
      </c>
      <c r="BX139" s="154">
        <f>SUM(BS139:BW139)</f>
        <v>26788528</v>
      </c>
      <c r="BY139" s="143">
        <f>BI139/BS139</f>
        <v>4.0557762862736275E-2</v>
      </c>
      <c r="BZ139" s="143">
        <f>BJ139/BT139</f>
        <v>2.8877947722964644E-2</v>
      </c>
      <c r="CA139" s="143">
        <f>BK139/BU139</f>
        <v>3.1760609054399078E-2</v>
      </c>
      <c r="CB139" s="143">
        <f>BL139/BV139</f>
        <v>3.0419682154737782E-2</v>
      </c>
      <c r="CC139" s="143">
        <f>BM139/BW139</f>
        <v>3.3802647412755717E-2</v>
      </c>
      <c r="CD139" s="143">
        <f>AVERAGE(BY139:CC139)</f>
        <v>3.3083729841518701E-2</v>
      </c>
    </row>
    <row r="140" spans="1:82" ht="14.5">
      <c r="A140" s="143" t="s">
        <v>327</v>
      </c>
      <c r="B140" s="143" t="s">
        <v>1147</v>
      </c>
      <c r="C140" s="144" t="s">
        <v>636</v>
      </c>
      <c r="D140" s="144" t="s">
        <v>1148</v>
      </c>
      <c r="E140" s="145" t="s">
        <v>637</v>
      </c>
      <c r="F140" s="143" t="str">
        <f>SUBSTITUTE(E140," ","")</f>
        <v>48055534391</v>
      </c>
      <c r="G140" s="143" t="s">
        <v>1149</v>
      </c>
      <c r="H140" s="143" t="s">
        <v>31</v>
      </c>
      <c r="I140" s="143">
        <v>2330</v>
      </c>
      <c r="J140" s="143">
        <v>-32.676997</v>
      </c>
      <c r="K140" s="143">
        <v>151.09088399999999</v>
      </c>
      <c r="L140" s="143">
        <v>1982</v>
      </c>
      <c r="M140" s="143">
        <v>40</v>
      </c>
      <c r="N140" s="143">
        <v>2039</v>
      </c>
      <c r="O140" s="143" t="s">
        <v>35</v>
      </c>
      <c r="P140" s="143"/>
      <c r="Q140" s="143" t="s">
        <v>29</v>
      </c>
      <c r="R140" s="143" t="s">
        <v>29</v>
      </c>
      <c r="S140" s="147"/>
      <c r="T140" s="143"/>
      <c r="U140" s="143"/>
      <c r="V140" s="143"/>
      <c r="W140" s="143"/>
      <c r="X140" s="143"/>
      <c r="Y140" s="143"/>
      <c r="Z140" s="143"/>
      <c r="AA140" s="143"/>
      <c r="AB140" s="143"/>
      <c r="AC140" s="143"/>
      <c r="AD140" s="153"/>
      <c r="AE140" s="153"/>
      <c r="AF140" s="143"/>
      <c r="AG140" s="155"/>
      <c r="AH140" s="147" t="s">
        <v>26</v>
      </c>
      <c r="AI140" s="146" t="s">
        <v>69</v>
      </c>
      <c r="AJ140" s="146" t="s">
        <v>1133</v>
      </c>
      <c r="AK140" s="146" t="s">
        <v>44</v>
      </c>
      <c r="AL140" s="143" t="s">
        <v>99</v>
      </c>
      <c r="AM140" s="143" t="s">
        <v>27</v>
      </c>
      <c r="AN140" s="143">
        <v>6.6</v>
      </c>
      <c r="AO140" s="143"/>
      <c r="AP140" s="152"/>
      <c r="AQ140" s="153"/>
      <c r="AR140" s="153"/>
      <c r="AS140" s="153"/>
      <c r="AT140" s="153"/>
      <c r="AU140" s="154"/>
      <c r="AV140" s="153" t="s">
        <v>117</v>
      </c>
      <c r="AW140" s="153" t="s">
        <v>117</v>
      </c>
      <c r="AX140" s="153" t="s">
        <v>117</v>
      </c>
      <c r="AY140" s="153" t="s">
        <v>106</v>
      </c>
      <c r="AZ140" s="153" t="s">
        <v>73</v>
      </c>
      <c r="BA140" s="154" t="s">
        <v>73</v>
      </c>
      <c r="BB140" s="152" t="s">
        <v>117</v>
      </c>
      <c r="BC140" s="153" t="s">
        <v>117</v>
      </c>
      <c r="BD140" s="153" t="s">
        <v>117</v>
      </c>
      <c r="BE140" s="157">
        <v>3099839</v>
      </c>
      <c r="BF140" s="157">
        <v>707250</v>
      </c>
      <c r="BG140" s="157"/>
      <c r="BH140" s="155" t="s">
        <v>1150</v>
      </c>
      <c r="BI140" s="152" t="s">
        <v>117</v>
      </c>
      <c r="BJ140" s="153" t="s">
        <v>117</v>
      </c>
      <c r="BK140" s="153" t="s">
        <v>117</v>
      </c>
      <c r="BL140" s="153">
        <v>747505</v>
      </c>
      <c r="BM140" s="153">
        <v>516616</v>
      </c>
      <c r="BN140" s="154">
        <f>SUMIF(BI140:BM140,"&gt;0",BI140:BM140)</f>
        <v>1264121</v>
      </c>
      <c r="BO140" s="156"/>
      <c r="BP140" s="148"/>
      <c r="BQ140" s="153"/>
      <c r="BR140" s="153"/>
      <c r="BS140" s="152" t="s">
        <v>1114</v>
      </c>
      <c r="BT140" s="153" t="s">
        <v>1114</v>
      </c>
      <c r="BU140" s="153" t="s">
        <v>1114</v>
      </c>
      <c r="BV140" s="153" t="s">
        <v>1114</v>
      </c>
      <c r="BW140" s="148">
        <v>10986664</v>
      </c>
      <c r="BX140" s="154">
        <f>SUM(BS140:BW140)</f>
        <v>10986664</v>
      </c>
      <c r="BY140" s="143" t="e">
        <f>BI140/BS140</f>
        <v>#VALUE!</v>
      </c>
      <c r="BZ140" s="143" t="e">
        <f>BJ140/BT140</f>
        <v>#VALUE!</v>
      </c>
      <c r="CA140" s="143" t="e">
        <f>BK140/BU140</f>
        <v>#VALUE!</v>
      </c>
      <c r="CB140" s="143" t="e">
        <f>BL140/BV140</f>
        <v>#VALUE!</v>
      </c>
      <c r="CC140" s="143">
        <f>BM140/BW140</f>
        <v>4.7022098791771549E-2</v>
      </c>
      <c r="CD140" s="259" t="e">
        <f>AVERAGE(BY140:CC140)</f>
        <v>#VALUE!</v>
      </c>
    </row>
    <row r="141" spans="1:82" ht="14.5">
      <c r="A141" s="143" t="s">
        <v>348</v>
      </c>
      <c r="B141" s="143" t="s">
        <v>1213</v>
      </c>
      <c r="C141" s="144" t="s">
        <v>1214</v>
      </c>
      <c r="D141" s="144" t="s">
        <v>1215</v>
      </c>
      <c r="E141" s="145" t="s">
        <v>650</v>
      </c>
      <c r="F141" s="143" t="str">
        <f>SUBSTITUTE(E141," ","")</f>
        <v>54166342418</v>
      </c>
      <c r="G141" s="143" t="s">
        <v>1138</v>
      </c>
      <c r="H141" s="143" t="s">
        <v>53</v>
      </c>
      <c r="I141" s="143">
        <v>4721</v>
      </c>
      <c r="J141" s="143">
        <v>-22.709112999999999</v>
      </c>
      <c r="K141" s="143">
        <v>147.62936999999999</v>
      </c>
      <c r="L141" s="143">
        <v>2010</v>
      </c>
      <c r="M141" s="143">
        <v>12</v>
      </c>
      <c r="N141" s="143">
        <v>2028</v>
      </c>
      <c r="O141" s="143"/>
      <c r="P141" s="143"/>
      <c r="Q141" s="143" t="s">
        <v>29</v>
      </c>
      <c r="R141" s="143" t="s">
        <v>29</v>
      </c>
      <c r="S141" s="147"/>
      <c r="T141" s="143"/>
      <c r="U141" s="143"/>
      <c r="V141" s="143"/>
      <c r="W141" s="143"/>
      <c r="X141" s="143"/>
      <c r="Y141" s="143"/>
      <c r="Z141" s="143"/>
      <c r="AA141" s="143"/>
      <c r="AB141" s="143"/>
      <c r="AC141" s="143"/>
      <c r="AD141" s="153"/>
      <c r="AE141" s="153"/>
      <c r="AF141" s="143"/>
      <c r="AG141" s="155"/>
      <c r="AH141" s="147" t="s">
        <v>26</v>
      </c>
      <c r="AI141" s="146" t="s">
        <v>36</v>
      </c>
      <c r="AJ141" s="143" t="s">
        <v>1111</v>
      </c>
      <c r="AK141" s="146" t="s">
        <v>21</v>
      </c>
      <c r="AL141" s="143" t="s">
        <v>43</v>
      </c>
      <c r="AM141" s="143"/>
      <c r="AN141" s="143"/>
      <c r="AO141" s="143"/>
      <c r="AP141" s="152"/>
      <c r="AQ141" s="153"/>
      <c r="AR141" s="153"/>
      <c r="AS141" s="153"/>
      <c r="AT141" s="153"/>
      <c r="AU141" s="154"/>
      <c r="AV141" s="153" t="s">
        <v>1028</v>
      </c>
      <c r="AW141" s="153" t="s">
        <v>106</v>
      </c>
      <c r="AX141" s="153" t="s">
        <v>106</v>
      </c>
      <c r="AY141" s="153" t="s">
        <v>106</v>
      </c>
      <c r="AZ141" s="153" t="s">
        <v>73</v>
      </c>
      <c r="BA141" s="154" t="s">
        <v>73</v>
      </c>
      <c r="BB141" s="152">
        <v>441336</v>
      </c>
      <c r="BC141" s="153">
        <v>441336</v>
      </c>
      <c r="BD141" s="153">
        <v>441336</v>
      </c>
      <c r="BE141" s="157">
        <v>441336</v>
      </c>
      <c r="BF141" s="157">
        <v>437255</v>
      </c>
      <c r="BG141" s="157"/>
      <c r="BH141" s="155"/>
      <c r="BI141" s="152">
        <v>377472</v>
      </c>
      <c r="BJ141" s="153">
        <v>374985</v>
      </c>
      <c r="BK141" s="153">
        <v>376165</v>
      </c>
      <c r="BL141" s="153">
        <v>381970</v>
      </c>
      <c r="BM141" s="153">
        <v>340056</v>
      </c>
      <c r="BN141" s="154">
        <f>SUMIF(BI141:BM141,"&gt;0",BI141:BM141)</f>
        <v>1850648</v>
      </c>
      <c r="BO141" s="156"/>
      <c r="BP141" s="148"/>
      <c r="BQ141" s="153"/>
      <c r="BR141" s="153"/>
      <c r="BS141" s="152">
        <v>11780000</v>
      </c>
      <c r="BT141" s="148">
        <v>11719000</v>
      </c>
      <c r="BU141" s="148">
        <v>12029000</v>
      </c>
      <c r="BV141" s="148">
        <v>9303000</v>
      </c>
      <c r="BW141" s="148">
        <v>8064000</v>
      </c>
      <c r="BX141" s="154">
        <f>SUM(BS141:BW141)</f>
        <v>52895000</v>
      </c>
      <c r="BY141" s="143">
        <f>BI141/BS141</f>
        <v>3.2043463497453309E-2</v>
      </c>
      <c r="BZ141" s="143">
        <f>BJ141/BT141</f>
        <v>3.1998037375202661E-2</v>
      </c>
      <c r="CA141" s="143">
        <f>BK141/BU141</f>
        <v>3.127151051625239E-2</v>
      </c>
      <c r="CB141" s="143">
        <f>BL141/BV141</f>
        <v>4.1058798237127811E-2</v>
      </c>
      <c r="CC141" s="143">
        <f>BM141/BW141</f>
        <v>4.2169642857142857E-2</v>
      </c>
      <c r="CD141" s="259">
        <f>AVERAGE(BY141:CC141)</f>
        <v>3.5708290496635806E-2</v>
      </c>
    </row>
    <row r="142" spans="1:82" ht="14.5">
      <c r="A142" s="143" t="s">
        <v>403</v>
      </c>
      <c r="B142" s="143" t="s">
        <v>1377</v>
      </c>
      <c r="C142" s="144" t="s">
        <v>695</v>
      </c>
      <c r="D142" s="144" t="s">
        <v>1378</v>
      </c>
      <c r="E142" s="145" t="s">
        <v>696</v>
      </c>
      <c r="F142" s="143" t="str">
        <f>SUBSTITUTE(E142," ","")</f>
        <v>42165235030</v>
      </c>
      <c r="G142" s="143" t="s">
        <v>1379</v>
      </c>
      <c r="H142" s="143" t="s">
        <v>81</v>
      </c>
      <c r="I142" s="143">
        <v>6440</v>
      </c>
      <c r="J142" s="143">
        <v>-28.813889</v>
      </c>
      <c r="K142" s="143">
        <v>122.420833</v>
      </c>
      <c r="L142" s="143">
        <v>2005</v>
      </c>
      <c r="M142" s="143">
        <v>17</v>
      </c>
      <c r="N142" s="143">
        <v>2030</v>
      </c>
      <c r="O142" s="143"/>
      <c r="P142" s="143"/>
      <c r="Q142" s="143" t="s">
        <v>123</v>
      </c>
      <c r="R142" s="143" t="s">
        <v>79</v>
      </c>
      <c r="S142" s="147" t="s">
        <v>612</v>
      </c>
      <c r="T142" s="143">
        <v>1</v>
      </c>
      <c r="U142" s="143" t="s">
        <v>1380</v>
      </c>
      <c r="V142" s="143" t="s">
        <v>1381</v>
      </c>
      <c r="W142" s="143" t="s">
        <v>1124</v>
      </c>
      <c r="X142" s="143" t="s">
        <v>1371</v>
      </c>
      <c r="Y142" s="143" t="s">
        <v>1382</v>
      </c>
      <c r="Z142" s="143" t="s">
        <v>1383</v>
      </c>
      <c r="AA142" s="143" t="s">
        <v>1384</v>
      </c>
      <c r="AB142" s="153">
        <v>93269</v>
      </c>
      <c r="AC142" s="153" t="s">
        <v>1385</v>
      </c>
      <c r="AD142" s="153">
        <v>85845</v>
      </c>
      <c r="AE142" s="153">
        <v>64047</v>
      </c>
      <c r="AF142" s="143" t="s">
        <v>1045</v>
      </c>
      <c r="AG142" s="155"/>
      <c r="AH142" s="150" t="s">
        <v>37</v>
      </c>
      <c r="AI142" s="151" t="s">
        <v>76</v>
      </c>
      <c r="AJ142" s="151" t="s">
        <v>70</v>
      </c>
      <c r="AK142" s="151" t="s">
        <v>70</v>
      </c>
      <c r="AL142" s="151" t="s">
        <v>118</v>
      </c>
      <c r="AM142" s="151" t="s">
        <v>70</v>
      </c>
      <c r="AN142" s="151" t="s">
        <v>70</v>
      </c>
      <c r="AO142" s="151" t="s">
        <v>70</v>
      </c>
      <c r="AP142" s="152"/>
      <c r="AQ142" s="153"/>
      <c r="AR142" s="153"/>
      <c r="AS142" s="153"/>
      <c r="AT142" s="153"/>
      <c r="AU142" s="154"/>
      <c r="AV142" s="153" t="s">
        <v>106</v>
      </c>
      <c r="AW142" s="153" t="s">
        <v>106</v>
      </c>
      <c r="AX142" s="153" t="s">
        <v>106</v>
      </c>
      <c r="AY142" s="153" t="s">
        <v>106</v>
      </c>
      <c r="AZ142" s="153" t="s">
        <v>73</v>
      </c>
      <c r="BA142" s="154" t="s">
        <v>73</v>
      </c>
      <c r="BB142" s="152">
        <v>117516</v>
      </c>
      <c r="BC142" s="153">
        <v>117516</v>
      </c>
      <c r="BD142" s="153">
        <v>117516</v>
      </c>
      <c r="BE142" s="157">
        <v>117516</v>
      </c>
      <c r="BF142" s="157">
        <v>126385</v>
      </c>
      <c r="BG142" s="157"/>
      <c r="BH142" s="155"/>
      <c r="BI142" s="152" t="s">
        <v>920</v>
      </c>
      <c r="BJ142" s="153" t="s">
        <v>920</v>
      </c>
      <c r="BK142" s="153">
        <v>102701</v>
      </c>
      <c r="BL142" s="153">
        <v>109243</v>
      </c>
      <c r="BM142" s="153">
        <v>118138</v>
      </c>
      <c r="BN142" s="154">
        <f>SUMIF(BI142:BM142,"&gt;0",BI142:BM142)</f>
        <v>330082</v>
      </c>
      <c r="BO142" s="156"/>
      <c r="BP142" s="148"/>
      <c r="BQ142" s="153"/>
      <c r="BR142" s="153"/>
      <c r="BS142" s="152"/>
      <c r="BT142" s="148"/>
      <c r="BU142" s="148"/>
      <c r="BV142" s="148"/>
      <c r="BW142" s="148"/>
      <c r="BX142" s="154">
        <f>SUM(BS142:BW142)</f>
        <v>0</v>
      </c>
      <c r="BY142" s="143"/>
      <c r="BZ142" s="143"/>
      <c r="CA142" s="143"/>
      <c r="CB142" s="143"/>
      <c r="CC142" s="143"/>
      <c r="CD142" s="143"/>
    </row>
    <row r="143" spans="1:82" ht="14.5">
      <c r="A143" s="143" t="s">
        <v>406</v>
      </c>
      <c r="B143" s="143" t="s">
        <v>1402</v>
      </c>
      <c r="C143" s="144" t="s">
        <v>1403</v>
      </c>
      <c r="D143" s="144" t="s">
        <v>1404</v>
      </c>
      <c r="E143" s="145" t="s">
        <v>1405</v>
      </c>
      <c r="F143" s="143" t="str">
        <f>SUBSTITUTE(E143," ","")</f>
        <v>11615729005</v>
      </c>
      <c r="G143" s="143" t="s">
        <v>1379</v>
      </c>
      <c r="H143" s="143" t="s">
        <v>81</v>
      </c>
      <c r="I143" s="143">
        <v>6440</v>
      </c>
      <c r="J143" s="143">
        <v>-27.979890000000001</v>
      </c>
      <c r="K143" s="143">
        <v>123.85871400000001</v>
      </c>
      <c r="L143" s="143" t="s">
        <v>292</v>
      </c>
      <c r="M143" s="143" t="s">
        <v>292</v>
      </c>
      <c r="N143" s="143" t="s">
        <v>292</v>
      </c>
      <c r="O143" s="143"/>
      <c r="P143" s="143"/>
      <c r="Q143" s="143" t="s">
        <v>123</v>
      </c>
      <c r="R143" s="143" t="s">
        <v>79</v>
      </c>
      <c r="S143" s="147"/>
      <c r="T143" s="143"/>
      <c r="U143" s="143"/>
      <c r="V143" s="143"/>
      <c r="W143" s="143"/>
      <c r="X143" s="143"/>
      <c r="Y143" s="143"/>
      <c r="Z143" s="143"/>
      <c r="AA143" s="143"/>
      <c r="AB143" s="143"/>
      <c r="AC143" s="143"/>
      <c r="AD143" s="153"/>
      <c r="AE143" s="153"/>
      <c r="AF143" s="143"/>
      <c r="AG143" s="155"/>
      <c r="AH143" s="150" t="s">
        <v>37</v>
      </c>
      <c r="AI143" s="151" t="s">
        <v>76</v>
      </c>
      <c r="AJ143" s="151" t="s">
        <v>70</v>
      </c>
      <c r="AK143" s="151" t="s">
        <v>70</v>
      </c>
      <c r="AL143" s="151" t="s">
        <v>118</v>
      </c>
      <c r="AM143" s="151" t="s">
        <v>70</v>
      </c>
      <c r="AN143" s="151" t="s">
        <v>70</v>
      </c>
      <c r="AO143" s="151" t="s">
        <v>70</v>
      </c>
      <c r="AP143" s="152"/>
      <c r="AQ143" s="153"/>
      <c r="AR143" s="153"/>
      <c r="AS143" s="153"/>
      <c r="AT143" s="153"/>
      <c r="AU143" s="154"/>
      <c r="AV143" s="153" t="s">
        <v>114</v>
      </c>
      <c r="AW143" s="153" t="s">
        <v>114</v>
      </c>
      <c r="AX143" s="153" t="s">
        <v>114</v>
      </c>
      <c r="AY143" s="153" t="s">
        <v>59</v>
      </c>
      <c r="AZ143" s="153" t="s">
        <v>59</v>
      </c>
      <c r="BA143" s="154" t="s">
        <v>59</v>
      </c>
      <c r="BB143" s="152" t="s">
        <v>114</v>
      </c>
      <c r="BC143" s="153" t="s">
        <v>114</v>
      </c>
      <c r="BD143" s="153" t="s">
        <v>114</v>
      </c>
      <c r="BE143" s="153">
        <v>243279</v>
      </c>
      <c r="BF143" s="153">
        <v>243584</v>
      </c>
      <c r="BG143" s="157"/>
      <c r="BH143" s="155"/>
      <c r="BI143" s="152" t="s">
        <v>920</v>
      </c>
      <c r="BJ143" s="153" t="s">
        <v>920</v>
      </c>
      <c r="BK143" s="153" t="s">
        <v>920</v>
      </c>
      <c r="BL143" s="153">
        <v>149110</v>
      </c>
      <c r="BM143" s="153">
        <v>181509</v>
      </c>
      <c r="BN143" s="154">
        <f>SUMIF(BI143:BM143,"&gt;0",BI143:BM143)</f>
        <v>330619</v>
      </c>
      <c r="BO143" s="156"/>
      <c r="BP143" s="148"/>
      <c r="BQ143" s="153"/>
      <c r="BR143" s="153"/>
      <c r="BS143" s="152"/>
      <c r="BT143" s="148"/>
      <c r="BU143" s="148"/>
      <c r="BV143" s="148"/>
      <c r="BW143" s="148"/>
      <c r="BX143" s="154">
        <f>SUM(BS143:BW143)</f>
        <v>0</v>
      </c>
      <c r="BY143" s="143"/>
      <c r="BZ143" s="143"/>
      <c r="CA143" s="143"/>
      <c r="CB143" s="143"/>
      <c r="CC143" s="143"/>
      <c r="CD143" s="143"/>
    </row>
    <row r="144" spans="1:82" ht="14.5">
      <c r="A144" s="143" t="s">
        <v>508</v>
      </c>
      <c r="B144" s="143"/>
      <c r="C144" s="144" t="s">
        <v>784</v>
      </c>
      <c r="D144" s="144" t="s">
        <v>1755</v>
      </c>
      <c r="E144" s="145" t="s">
        <v>785</v>
      </c>
      <c r="F144" s="143" t="str">
        <f>SUBSTITUTE(E144," ","")</f>
        <v>30073634581</v>
      </c>
      <c r="G144" s="143" t="s">
        <v>1756</v>
      </c>
      <c r="H144" s="143" t="s">
        <v>67</v>
      </c>
      <c r="I144" s="143">
        <v>7321</v>
      </c>
      <c r="J144" s="143">
        <v>-40.852254000000002</v>
      </c>
      <c r="K144" s="143">
        <v>145.38014899999999</v>
      </c>
      <c r="L144" s="143">
        <v>1967</v>
      </c>
      <c r="M144" s="143">
        <v>55</v>
      </c>
      <c r="N144" s="143">
        <v>0</v>
      </c>
      <c r="O144" s="143"/>
      <c r="P144" s="143"/>
      <c r="Q144" s="143" t="s">
        <v>125</v>
      </c>
      <c r="R144" s="143" t="s">
        <v>65</v>
      </c>
      <c r="S144" s="147"/>
      <c r="T144" s="143"/>
      <c r="U144" s="143"/>
      <c r="V144" s="143"/>
      <c r="W144" s="143"/>
      <c r="X144" s="143"/>
      <c r="Y144" s="143"/>
      <c r="Z144" s="143"/>
      <c r="AA144" s="143"/>
      <c r="AB144" s="143"/>
      <c r="AC144" s="143"/>
      <c r="AD144" s="153"/>
      <c r="AE144" s="153"/>
      <c r="AF144" s="143"/>
      <c r="AG144" s="155"/>
      <c r="AH144" s="150" t="s">
        <v>37</v>
      </c>
      <c r="AI144" s="151" t="s">
        <v>76</v>
      </c>
      <c r="AJ144" s="151" t="s">
        <v>70</v>
      </c>
      <c r="AK144" s="151" t="s">
        <v>70</v>
      </c>
      <c r="AL144" s="151" t="s">
        <v>118</v>
      </c>
      <c r="AM144" s="151" t="s">
        <v>70</v>
      </c>
      <c r="AN144" s="151" t="s">
        <v>70</v>
      </c>
      <c r="AO144" s="151" t="s">
        <v>70</v>
      </c>
      <c r="AP144" s="152" t="s">
        <v>26</v>
      </c>
      <c r="AQ144" s="153" t="s">
        <v>26</v>
      </c>
      <c r="AR144" s="160" t="str">
        <f>IF(BF144&gt;(BC144*1.1),"yes","no")</f>
        <v>no</v>
      </c>
      <c r="AS144" s="160" t="str">
        <f>IF(BM144&gt;(BJ144*1.1),"yes","no")</f>
        <v>no</v>
      </c>
      <c r="AT144" s="160" t="str">
        <f>IF(BM144&gt;(BJ144*1.1),"yes","no")</f>
        <v>no</v>
      </c>
      <c r="AU144" s="154">
        <v>0</v>
      </c>
      <c r="AV144" s="153" t="s">
        <v>1028</v>
      </c>
      <c r="AW144" s="153" t="s">
        <v>108</v>
      </c>
      <c r="AX144" s="153" t="s">
        <v>108</v>
      </c>
      <c r="AY144" s="153" t="s">
        <v>108</v>
      </c>
      <c r="AZ144" s="153" t="s">
        <v>101</v>
      </c>
      <c r="BA144" s="154" t="s">
        <v>101</v>
      </c>
      <c r="BB144" s="152">
        <v>118950</v>
      </c>
      <c r="BC144" s="153">
        <v>118950</v>
      </c>
      <c r="BD144" s="153">
        <v>118950</v>
      </c>
      <c r="BE144" s="157">
        <v>119276</v>
      </c>
      <c r="BF144" s="157">
        <v>123541</v>
      </c>
      <c r="BG144" s="157"/>
      <c r="BH144" s="155" t="s">
        <v>1757</v>
      </c>
      <c r="BI144" s="152" t="s">
        <v>920</v>
      </c>
      <c r="BJ144" s="153">
        <v>124222</v>
      </c>
      <c r="BK144" s="153">
        <v>94043</v>
      </c>
      <c r="BL144" s="153">
        <v>124412</v>
      </c>
      <c r="BM144" s="153">
        <v>118637</v>
      </c>
      <c r="BN144" s="154">
        <f>SUMIF(BI144:BM144,"&gt;0",BI144:BM144)</f>
        <v>461314</v>
      </c>
      <c r="BO144" s="156"/>
      <c r="BP144" s="148"/>
      <c r="BQ144" s="153"/>
      <c r="BR144" s="153"/>
      <c r="BS144" s="152"/>
      <c r="BT144" s="148"/>
      <c r="BU144" s="148"/>
      <c r="BV144" s="148"/>
      <c r="BW144" s="148"/>
      <c r="BX144" s="154">
        <f>SUM(BS144:BW144)</f>
        <v>0</v>
      </c>
      <c r="BY144" s="143"/>
      <c r="BZ144" s="143"/>
      <c r="CA144" s="143"/>
      <c r="CB144" s="143"/>
      <c r="CC144" s="143"/>
      <c r="CD144" s="143"/>
    </row>
    <row r="145" spans="1:82" ht="14.5">
      <c r="A145" s="143" t="s">
        <v>542</v>
      </c>
      <c r="B145" s="143"/>
      <c r="C145" s="144" t="s">
        <v>784</v>
      </c>
      <c r="D145" s="144" t="s">
        <v>1755</v>
      </c>
      <c r="E145" s="145" t="s">
        <v>785</v>
      </c>
      <c r="F145" s="143" t="str">
        <f>SUBSTITUTE(E145," ","")</f>
        <v>30073634581</v>
      </c>
      <c r="G145" s="143" t="s">
        <v>1873</v>
      </c>
      <c r="H145" s="143" t="s">
        <v>67</v>
      </c>
      <c r="I145" s="143">
        <v>7321</v>
      </c>
      <c r="J145" s="143">
        <v>-41.490136</v>
      </c>
      <c r="K145" s="143">
        <v>145.208034</v>
      </c>
      <c r="L145" s="143">
        <v>1967</v>
      </c>
      <c r="M145" s="143">
        <v>55</v>
      </c>
      <c r="N145" s="143">
        <v>2036</v>
      </c>
      <c r="O145" s="143"/>
      <c r="P145" s="143"/>
      <c r="Q145" s="143" t="s">
        <v>125</v>
      </c>
      <c r="R145" s="143" t="s">
        <v>65</v>
      </c>
      <c r="S145" s="147"/>
      <c r="T145" s="143"/>
      <c r="U145" s="143"/>
      <c r="V145" s="143"/>
      <c r="W145" s="143"/>
      <c r="X145" s="143"/>
      <c r="Y145" s="143"/>
      <c r="Z145" s="143"/>
      <c r="AA145" s="143"/>
      <c r="AB145" s="143"/>
      <c r="AC145" s="143"/>
      <c r="AD145" s="153"/>
      <c r="AE145" s="153"/>
      <c r="AF145" s="143"/>
      <c r="AG145" s="155"/>
      <c r="AH145" s="150" t="s">
        <v>37</v>
      </c>
      <c r="AI145" s="151" t="s">
        <v>76</v>
      </c>
      <c r="AJ145" s="151" t="s">
        <v>70</v>
      </c>
      <c r="AK145" s="151" t="s">
        <v>70</v>
      </c>
      <c r="AL145" s="151" t="s">
        <v>118</v>
      </c>
      <c r="AM145" s="151" t="s">
        <v>70</v>
      </c>
      <c r="AN145" s="151" t="s">
        <v>70</v>
      </c>
      <c r="AO145" s="151" t="s">
        <v>70</v>
      </c>
      <c r="AP145" s="152" t="s">
        <v>26</v>
      </c>
      <c r="AQ145" s="153" t="s">
        <v>37</v>
      </c>
      <c r="AR145" s="160" t="str">
        <f>IF(BF145&gt;(BE145*1.1),"yes","no")</f>
        <v>yes</v>
      </c>
      <c r="AS145" s="160" t="str">
        <f>IF(BM145&gt;(BL145*1.1),"yes","no")</f>
        <v>no</v>
      </c>
      <c r="AT145" s="160" t="str">
        <f>IF(BM145&gt;(BL145*1.1),"yes","no")</f>
        <v>no</v>
      </c>
      <c r="AU145" s="154">
        <v>0</v>
      </c>
      <c r="AV145" s="153" t="s">
        <v>114</v>
      </c>
      <c r="AW145" s="153" t="s">
        <v>114</v>
      </c>
      <c r="AX145" s="153" t="s">
        <v>114</v>
      </c>
      <c r="AY145" s="153" t="s">
        <v>1095</v>
      </c>
      <c r="AZ145" s="153" t="s">
        <v>80</v>
      </c>
      <c r="BA145" s="154" t="s">
        <v>80</v>
      </c>
      <c r="BB145" s="152" t="s">
        <v>114</v>
      </c>
      <c r="BC145" s="153" t="s">
        <v>114</v>
      </c>
      <c r="BD145" s="153" t="s">
        <v>114</v>
      </c>
      <c r="BE145" s="157">
        <v>100274</v>
      </c>
      <c r="BF145" s="157">
        <v>124395</v>
      </c>
      <c r="BG145" s="157"/>
      <c r="BH145" s="155"/>
      <c r="BI145" s="152" t="s">
        <v>920</v>
      </c>
      <c r="BJ145" s="153" t="s">
        <v>920</v>
      </c>
      <c r="BK145" s="153" t="s">
        <v>920</v>
      </c>
      <c r="BL145" s="153">
        <v>101314</v>
      </c>
      <c r="BM145" s="153">
        <v>96414</v>
      </c>
      <c r="BN145" s="154">
        <f>SUMIF(BI145:BM145,"&gt;0",BI145:BM145)</f>
        <v>197728</v>
      </c>
      <c r="BO145" s="156"/>
      <c r="BP145" s="148"/>
      <c r="BQ145" s="153"/>
      <c r="BR145" s="153"/>
      <c r="BS145" s="152"/>
      <c r="BT145" s="148"/>
      <c r="BU145" s="148"/>
      <c r="BV145" s="148"/>
      <c r="BW145" s="148"/>
      <c r="BX145" s="154">
        <f>SUM(BS145:BW145)</f>
        <v>0</v>
      </c>
      <c r="BY145" s="143"/>
      <c r="BZ145" s="143"/>
      <c r="CA145" s="143"/>
      <c r="CB145" s="143"/>
      <c r="CC145" s="143"/>
      <c r="CD145" s="143"/>
    </row>
    <row r="146" spans="1:82" ht="14.5">
      <c r="A146" s="143" t="s">
        <v>346</v>
      </c>
      <c r="B146" s="143"/>
      <c r="C146" s="144"/>
      <c r="D146" s="144" t="s">
        <v>1207</v>
      </c>
      <c r="E146" s="145" t="s">
        <v>1208</v>
      </c>
      <c r="F146" s="143" t="str">
        <f>SUBSTITUTE(E146," ","")</f>
        <v>70092916811</v>
      </c>
      <c r="G146" s="143" t="s">
        <v>1209</v>
      </c>
      <c r="H146" s="143" t="s">
        <v>31</v>
      </c>
      <c r="I146" s="143">
        <v>2848</v>
      </c>
      <c r="J146" s="143">
        <v>-32.889195000000001</v>
      </c>
      <c r="K146" s="143">
        <v>149.97075699999999</v>
      </c>
      <c r="L146" s="143" t="s">
        <v>292</v>
      </c>
      <c r="M146" s="143" t="s">
        <v>292</v>
      </c>
      <c r="N146" s="143" t="s">
        <v>292</v>
      </c>
      <c r="O146" s="143"/>
      <c r="P146" s="143"/>
      <c r="Q146" s="143" t="s">
        <v>64</v>
      </c>
      <c r="R146" s="143" t="s">
        <v>40</v>
      </c>
      <c r="S146" s="147"/>
      <c r="T146" s="143"/>
      <c r="U146" s="143"/>
      <c r="V146" s="143"/>
      <c r="W146" s="143"/>
      <c r="X146" s="143"/>
      <c r="Y146" s="143"/>
      <c r="Z146" s="143"/>
      <c r="AA146" s="143"/>
      <c r="AB146" s="143"/>
      <c r="AC146" s="143"/>
      <c r="AD146" s="153"/>
      <c r="AE146" s="153"/>
      <c r="AF146" s="143"/>
      <c r="AG146" s="155"/>
      <c r="AH146" s="150" t="s">
        <v>37</v>
      </c>
      <c r="AI146" s="151" t="s">
        <v>76</v>
      </c>
      <c r="AJ146" s="151" t="s">
        <v>70</v>
      </c>
      <c r="AK146" s="151" t="s">
        <v>70</v>
      </c>
      <c r="AL146" s="151" t="s">
        <v>118</v>
      </c>
      <c r="AM146" s="151" t="s">
        <v>70</v>
      </c>
      <c r="AN146" s="151" t="s">
        <v>70</v>
      </c>
      <c r="AO146" s="151" t="s">
        <v>70</v>
      </c>
      <c r="AP146" s="152"/>
      <c r="AQ146" s="153"/>
      <c r="AR146" s="153"/>
      <c r="AS146" s="153"/>
      <c r="AT146" s="153"/>
      <c r="AU146" s="154"/>
      <c r="AV146" s="153" t="s">
        <v>106</v>
      </c>
      <c r="AW146" s="153" t="s">
        <v>106</v>
      </c>
      <c r="AX146" s="153" t="s">
        <v>106</v>
      </c>
      <c r="AY146" s="153" t="s">
        <v>106</v>
      </c>
      <c r="AZ146" s="153" t="s">
        <v>106</v>
      </c>
      <c r="BA146" s="154" t="s">
        <v>114</v>
      </c>
      <c r="BB146" s="152">
        <v>102296</v>
      </c>
      <c r="BC146" s="153">
        <v>102296</v>
      </c>
      <c r="BD146" s="153">
        <v>102296</v>
      </c>
      <c r="BE146" s="153">
        <v>102296</v>
      </c>
      <c r="BF146" s="153">
        <v>102296</v>
      </c>
      <c r="BG146" s="157"/>
      <c r="BH146" s="155"/>
      <c r="BI146" s="152" t="s">
        <v>920</v>
      </c>
      <c r="BJ146" s="153" t="s">
        <v>920</v>
      </c>
      <c r="BK146" s="153" t="s">
        <v>920</v>
      </c>
      <c r="BL146" s="153" t="s">
        <v>920</v>
      </c>
      <c r="BM146" s="153" t="s">
        <v>920</v>
      </c>
      <c r="BN146" s="154">
        <f>SUMIF(BI146:BM146,"&gt;0",BI146:BM146)</f>
        <v>0</v>
      </c>
      <c r="BO146" s="156"/>
      <c r="BP146" s="148"/>
      <c r="BQ146" s="153"/>
      <c r="BR146" s="153"/>
      <c r="BS146" s="152"/>
      <c r="BT146" s="148"/>
      <c r="BU146" s="148"/>
      <c r="BV146" s="148"/>
      <c r="BW146" s="148"/>
      <c r="BX146" s="154">
        <f>SUM(BS146:BW146)</f>
        <v>0</v>
      </c>
      <c r="BY146" s="143"/>
      <c r="BZ146" s="143"/>
      <c r="CA146" s="143"/>
      <c r="CB146" s="143"/>
      <c r="CC146" s="143"/>
      <c r="CD146" s="259"/>
    </row>
    <row r="147" spans="1:82" ht="14.5">
      <c r="A147" s="143" t="s">
        <v>538</v>
      </c>
      <c r="B147" s="143"/>
      <c r="C147" s="144" t="s">
        <v>1866</v>
      </c>
      <c r="D147" s="144" t="s">
        <v>1867</v>
      </c>
      <c r="E147" s="145" t="s">
        <v>1868</v>
      </c>
      <c r="F147" s="143" t="str">
        <f>SUBSTITUTE(E147," ","")</f>
        <v>71123721077</v>
      </c>
      <c r="G147" s="143" t="s">
        <v>1053</v>
      </c>
      <c r="H147" s="143" t="s">
        <v>81</v>
      </c>
      <c r="I147" s="143">
        <v>6753</v>
      </c>
      <c r="J147" s="143">
        <v>-22.446389</v>
      </c>
      <c r="K147" s="143">
        <v>119.933333</v>
      </c>
      <c r="L147" s="143">
        <v>2015</v>
      </c>
      <c r="M147" s="143">
        <v>7</v>
      </c>
      <c r="N147" s="143">
        <v>2035</v>
      </c>
      <c r="O147" s="143"/>
      <c r="P147" s="143"/>
      <c r="Q147" s="143" t="s">
        <v>125</v>
      </c>
      <c r="R147" s="143" t="s">
        <v>65</v>
      </c>
      <c r="S147" s="147"/>
      <c r="T147" s="143"/>
      <c r="U147" s="143"/>
      <c r="V147" s="143"/>
      <c r="W147" s="143"/>
      <c r="X147" s="143"/>
      <c r="Y147" s="143"/>
      <c r="Z147" s="143"/>
      <c r="AA147" s="143"/>
      <c r="AB147" s="143"/>
      <c r="AC147" s="143"/>
      <c r="AD147" s="153"/>
      <c r="AE147" s="153"/>
      <c r="AF147" s="143"/>
      <c r="AG147" s="155"/>
      <c r="AH147" s="150" t="s">
        <v>37</v>
      </c>
      <c r="AI147" s="151" t="s">
        <v>76</v>
      </c>
      <c r="AJ147" s="151" t="s">
        <v>70</v>
      </c>
      <c r="AK147" s="151" t="s">
        <v>70</v>
      </c>
      <c r="AL147" s="151" t="s">
        <v>118</v>
      </c>
      <c r="AM147" s="151" t="s">
        <v>70</v>
      </c>
      <c r="AN147" s="151" t="s">
        <v>70</v>
      </c>
      <c r="AO147" s="151" t="s">
        <v>70</v>
      </c>
      <c r="AP147" s="152" t="s">
        <v>26</v>
      </c>
      <c r="AQ147" s="153" t="s">
        <v>26</v>
      </c>
      <c r="AR147" s="160" t="str">
        <f>IF(BF147&gt;(BD147*1.1),"yes","no")</f>
        <v>no</v>
      </c>
      <c r="AS147" s="160" t="str">
        <f>IF(BM147&gt;(BJ147*1.1),"yes","no")</f>
        <v>no</v>
      </c>
      <c r="AT147" s="160" t="str">
        <f>IF(BM147&gt;(BI147*1.1),"yes","no")</f>
        <v>yes</v>
      </c>
      <c r="AU147" s="154">
        <v>0</v>
      </c>
      <c r="AV147" s="153" t="s">
        <v>59</v>
      </c>
      <c r="AW147" s="153" t="s">
        <v>59</v>
      </c>
      <c r="AX147" s="153" t="s">
        <v>80</v>
      </c>
      <c r="AY147" s="153" t="s">
        <v>80</v>
      </c>
      <c r="AZ147" s="153" t="s">
        <v>80</v>
      </c>
      <c r="BA147" s="154" t="s">
        <v>114</v>
      </c>
      <c r="BB147" s="152">
        <v>386581</v>
      </c>
      <c r="BC147" s="153">
        <v>386581</v>
      </c>
      <c r="BD147" s="153">
        <v>441354</v>
      </c>
      <c r="BE147" s="157">
        <v>442563</v>
      </c>
      <c r="BF147" s="157">
        <v>441354</v>
      </c>
      <c r="BG147" s="157"/>
      <c r="BH147" s="155"/>
      <c r="BI147" s="152">
        <v>193723</v>
      </c>
      <c r="BJ147" s="153">
        <v>391919</v>
      </c>
      <c r="BK147" s="153">
        <v>412588</v>
      </c>
      <c r="BL147" s="153">
        <v>428087</v>
      </c>
      <c r="BM147" s="153">
        <v>430818</v>
      </c>
      <c r="BN147" s="154">
        <f>SUMIF(BI147:BM147,"&gt;0",BI147:BM147)</f>
        <v>1857135</v>
      </c>
      <c r="BO147" s="156"/>
      <c r="BP147" s="148"/>
      <c r="BQ147" s="153"/>
      <c r="BR147" s="153"/>
      <c r="BS147" s="152"/>
      <c r="BT147" s="148"/>
      <c r="BU147" s="148"/>
      <c r="BV147" s="148"/>
      <c r="BW147" s="148"/>
      <c r="BX147" s="154">
        <f>SUM(BS147:BW147)</f>
        <v>0</v>
      </c>
      <c r="BY147" s="143"/>
      <c r="BZ147" s="143"/>
      <c r="CA147" s="143"/>
      <c r="CB147" s="143"/>
      <c r="CC147" s="143"/>
      <c r="CD147" s="259"/>
    </row>
    <row r="148" spans="1:82" ht="14.5">
      <c r="A148" s="143" t="s">
        <v>386</v>
      </c>
      <c r="B148" s="143" t="s">
        <v>1335</v>
      </c>
      <c r="C148" s="144" t="s">
        <v>675</v>
      </c>
      <c r="D148" s="144" t="s">
        <v>1336</v>
      </c>
      <c r="E148" s="145" t="s">
        <v>676</v>
      </c>
      <c r="F148" s="143" t="str">
        <f>SUBSTITUTE(E148," ","")</f>
        <v>70009658520</v>
      </c>
      <c r="G148" s="143" t="s">
        <v>1144</v>
      </c>
      <c r="H148" s="143" t="s">
        <v>53</v>
      </c>
      <c r="I148" s="143">
        <v>4680</v>
      </c>
      <c r="J148" s="143">
        <v>-23.7925</v>
      </c>
      <c r="K148" s="143">
        <v>151.15450000000001</v>
      </c>
      <c r="L148" s="143">
        <v>1981</v>
      </c>
      <c r="M148" s="143">
        <v>41</v>
      </c>
      <c r="N148" s="143">
        <v>0</v>
      </c>
      <c r="O148" s="143"/>
      <c r="P148" s="143"/>
      <c r="Q148" s="143" t="s">
        <v>64</v>
      </c>
      <c r="R148" s="143" t="s">
        <v>40</v>
      </c>
      <c r="S148" s="147" t="s">
        <v>612</v>
      </c>
      <c r="T148" s="143">
        <v>1</v>
      </c>
      <c r="U148" s="143" t="s">
        <v>1337</v>
      </c>
      <c r="V148" s="143" t="s">
        <v>1338</v>
      </c>
      <c r="W148" s="143" t="s">
        <v>1339</v>
      </c>
      <c r="X148" s="143" t="s">
        <v>1125</v>
      </c>
      <c r="Y148" s="143" t="s">
        <v>1340</v>
      </c>
      <c r="Z148" s="143" t="s">
        <v>1341</v>
      </c>
      <c r="AA148" s="168">
        <v>44689</v>
      </c>
      <c r="AB148" s="153">
        <v>0</v>
      </c>
      <c r="AC148" s="153" t="s">
        <v>1044</v>
      </c>
      <c r="AD148" s="153"/>
      <c r="AE148" s="153"/>
      <c r="AF148" s="143" t="s">
        <v>1045</v>
      </c>
      <c r="AG148" s="155"/>
      <c r="AH148" s="150" t="s">
        <v>37</v>
      </c>
      <c r="AI148" s="151" t="s">
        <v>76</v>
      </c>
      <c r="AJ148" s="151" t="s">
        <v>70</v>
      </c>
      <c r="AK148" s="151" t="s">
        <v>70</v>
      </c>
      <c r="AL148" s="151" t="s">
        <v>118</v>
      </c>
      <c r="AM148" s="151" t="s">
        <v>70</v>
      </c>
      <c r="AN148" s="151" t="s">
        <v>70</v>
      </c>
      <c r="AO148" s="151" t="s">
        <v>70</v>
      </c>
      <c r="AP148" s="152"/>
      <c r="AQ148" s="153"/>
      <c r="AR148" s="153"/>
      <c r="AS148" s="153"/>
      <c r="AT148" s="153"/>
      <c r="AU148" s="154"/>
      <c r="AV148" s="153" t="s">
        <v>41</v>
      </c>
      <c r="AW148" s="153" t="s">
        <v>41</v>
      </c>
      <c r="AX148" s="153" t="s">
        <v>41</v>
      </c>
      <c r="AY148" s="153" t="s">
        <v>41</v>
      </c>
      <c r="AZ148" s="153" t="s">
        <v>73</v>
      </c>
      <c r="BA148" s="154" t="s">
        <v>73</v>
      </c>
      <c r="BB148" s="152">
        <v>1860245</v>
      </c>
      <c r="BC148" s="153">
        <v>1860245</v>
      </c>
      <c r="BD148" s="153">
        <v>1860245</v>
      </c>
      <c r="BE148" s="157">
        <v>1860245</v>
      </c>
      <c r="BF148" s="157">
        <v>1795018</v>
      </c>
      <c r="BG148" s="157"/>
      <c r="BH148" s="155"/>
      <c r="BI148" s="152">
        <v>1548232</v>
      </c>
      <c r="BJ148" s="153">
        <v>1607297</v>
      </c>
      <c r="BK148" s="153">
        <v>1679586</v>
      </c>
      <c r="BL148" s="153">
        <v>1681902</v>
      </c>
      <c r="BM148" s="153">
        <v>1618328</v>
      </c>
      <c r="BN148" s="154">
        <f>SUMIF(BI148:BM148,"&gt;0",BI148:BM148)</f>
        <v>8135345</v>
      </c>
      <c r="BO148" s="156"/>
      <c r="BP148" s="148"/>
      <c r="BQ148" s="153"/>
      <c r="BR148" s="153"/>
      <c r="BS148" s="152"/>
      <c r="BT148" s="148"/>
      <c r="BU148" s="148"/>
      <c r="BV148" s="148"/>
      <c r="BW148" s="148"/>
      <c r="BX148" s="154">
        <f>SUM(BS148:BW148)</f>
        <v>0</v>
      </c>
      <c r="BY148" s="143"/>
      <c r="BZ148" s="143"/>
      <c r="CA148" s="143"/>
      <c r="CB148" s="143"/>
      <c r="CC148" s="143"/>
      <c r="CD148" s="259"/>
    </row>
    <row r="149" spans="1:82" ht="14.5">
      <c r="A149" s="143" t="s">
        <v>523</v>
      </c>
      <c r="B149" s="143">
        <v>33009476546</v>
      </c>
      <c r="C149" s="144" t="s">
        <v>797</v>
      </c>
      <c r="D149" s="144" t="s">
        <v>1813</v>
      </c>
      <c r="E149" s="145" t="s">
        <v>798</v>
      </c>
      <c r="F149" s="143" t="str">
        <f>SUBSTITUTE(E149," ","")</f>
        <v>33009476546</v>
      </c>
      <c r="G149" s="143" t="s">
        <v>292</v>
      </c>
      <c r="H149" s="143" t="s">
        <v>67</v>
      </c>
      <c r="I149" s="143" t="s">
        <v>292</v>
      </c>
      <c r="J149" s="143" t="s">
        <v>292</v>
      </c>
      <c r="K149" s="143" t="s">
        <v>292</v>
      </c>
      <c r="L149" s="143">
        <v>1923</v>
      </c>
      <c r="M149" s="143">
        <v>99</v>
      </c>
      <c r="N149" s="143">
        <v>0</v>
      </c>
      <c r="O149" s="143"/>
      <c r="P149" s="143"/>
      <c r="Q149" s="143" t="s">
        <v>64</v>
      </c>
      <c r="R149" s="143" t="s">
        <v>40</v>
      </c>
      <c r="S149" s="147" t="s">
        <v>612</v>
      </c>
      <c r="T149" s="143">
        <v>1</v>
      </c>
      <c r="U149" s="143" t="s">
        <v>1814</v>
      </c>
      <c r="V149" s="143" t="s">
        <v>1815</v>
      </c>
      <c r="W149" s="143" t="s">
        <v>1339</v>
      </c>
      <c r="X149" s="143" t="s">
        <v>1125</v>
      </c>
      <c r="Y149" s="143" t="s">
        <v>1340</v>
      </c>
      <c r="Z149" s="143" t="s">
        <v>1816</v>
      </c>
      <c r="AA149" s="168">
        <v>44689</v>
      </c>
      <c r="AB149" s="153">
        <v>0</v>
      </c>
      <c r="AC149" s="153" t="s">
        <v>1044</v>
      </c>
      <c r="AD149" s="153"/>
      <c r="AE149" s="153"/>
      <c r="AF149" s="143" t="s">
        <v>1045</v>
      </c>
      <c r="AG149" s="155"/>
      <c r="AH149" s="150" t="s">
        <v>37</v>
      </c>
      <c r="AI149" s="151" t="s">
        <v>76</v>
      </c>
      <c r="AJ149" s="151" t="s">
        <v>70</v>
      </c>
      <c r="AK149" s="151" t="s">
        <v>70</v>
      </c>
      <c r="AL149" s="151" t="s">
        <v>118</v>
      </c>
      <c r="AM149" s="151" t="s">
        <v>70</v>
      </c>
      <c r="AN149" s="151" t="s">
        <v>70</v>
      </c>
      <c r="AO149" s="151" t="s">
        <v>70</v>
      </c>
      <c r="AP149" s="152"/>
      <c r="AQ149" s="153"/>
      <c r="AR149" s="153"/>
      <c r="AS149" s="153"/>
      <c r="AT149" s="153"/>
      <c r="AU149" s="154"/>
      <c r="AV149" s="153" t="s">
        <v>41</v>
      </c>
      <c r="AW149" s="153" t="s">
        <v>41</v>
      </c>
      <c r="AX149" s="153" t="s">
        <v>41</v>
      </c>
      <c r="AY149" s="153" t="s">
        <v>41</v>
      </c>
      <c r="AZ149" s="153" t="s">
        <v>73</v>
      </c>
      <c r="BA149" s="154" t="s">
        <v>73</v>
      </c>
      <c r="BB149" s="152">
        <v>1112944</v>
      </c>
      <c r="BC149" s="153">
        <v>1112944</v>
      </c>
      <c r="BD149" s="153">
        <v>1112944</v>
      </c>
      <c r="BE149" s="157">
        <v>1112944</v>
      </c>
      <c r="BF149" s="157">
        <v>1118359</v>
      </c>
      <c r="BG149" s="157"/>
      <c r="BH149" s="155"/>
      <c r="BI149" s="152">
        <v>1102577</v>
      </c>
      <c r="BJ149" s="153">
        <v>976105</v>
      </c>
      <c r="BK149" s="153">
        <v>1085324</v>
      </c>
      <c r="BL149" s="153">
        <v>997848</v>
      </c>
      <c r="BM149" s="153">
        <v>1047925</v>
      </c>
      <c r="BN149" s="154">
        <f>SUMIF(BI149:BM149,"&gt;0",BI149:BM149)</f>
        <v>5209779</v>
      </c>
      <c r="BO149" s="156"/>
      <c r="BP149" s="148"/>
      <c r="BQ149" s="153"/>
      <c r="BR149" s="153"/>
      <c r="BS149" s="152"/>
      <c r="BT149" s="148"/>
      <c r="BU149" s="148"/>
      <c r="BV149" s="148"/>
      <c r="BW149" s="148"/>
      <c r="BX149" s="154">
        <f>SUM(BS149:BW149)</f>
        <v>0</v>
      </c>
      <c r="BY149" s="143"/>
      <c r="BZ149" s="143"/>
      <c r="CA149" s="143"/>
      <c r="CB149" s="143"/>
      <c r="CC149" s="143"/>
      <c r="CD149" s="259"/>
    </row>
    <row r="150" spans="1:82" ht="14.5">
      <c r="A150" s="143" t="s">
        <v>378</v>
      </c>
      <c r="B150" s="143" t="s">
        <v>1307</v>
      </c>
      <c r="C150" s="144" t="s">
        <v>671</v>
      </c>
      <c r="D150" s="144" t="s">
        <v>1308</v>
      </c>
      <c r="E150" s="145" t="s">
        <v>672</v>
      </c>
      <c r="F150" s="143" t="str">
        <f>SUBSTITUTE(E150," ","")</f>
        <v>23011048678</v>
      </c>
      <c r="G150" s="143" t="s">
        <v>1309</v>
      </c>
      <c r="H150" s="143" t="s">
        <v>53</v>
      </c>
      <c r="I150" s="143">
        <v>4720</v>
      </c>
      <c r="J150" s="143">
        <v>-23.46</v>
      </c>
      <c r="K150" s="143">
        <v>148.526667</v>
      </c>
      <c r="L150" s="143">
        <v>1993</v>
      </c>
      <c r="M150" s="143">
        <v>29</v>
      </c>
      <c r="N150" s="143">
        <v>2037</v>
      </c>
      <c r="O150" s="143"/>
      <c r="P150" s="143"/>
      <c r="Q150" s="143" t="s">
        <v>29</v>
      </c>
      <c r="R150" s="143" t="s">
        <v>29</v>
      </c>
      <c r="S150" s="147"/>
      <c r="T150" s="143"/>
      <c r="U150" s="143"/>
      <c r="V150" s="143"/>
      <c r="W150" s="143"/>
      <c r="X150" s="143"/>
      <c r="Y150" s="143"/>
      <c r="Z150" s="143"/>
      <c r="AA150" s="143"/>
      <c r="AB150" s="143"/>
      <c r="AC150" s="143"/>
      <c r="AD150" s="153"/>
      <c r="AE150" s="153"/>
      <c r="AF150" s="143"/>
      <c r="AG150" s="155"/>
      <c r="AH150" s="147" t="s">
        <v>26</v>
      </c>
      <c r="AI150" s="146" t="s">
        <v>36</v>
      </c>
      <c r="AJ150" s="146" t="s">
        <v>1111</v>
      </c>
      <c r="AK150" s="146" t="s">
        <v>608</v>
      </c>
      <c r="AL150" s="143" t="s">
        <v>43</v>
      </c>
      <c r="AM150" s="143"/>
      <c r="AN150" s="143"/>
      <c r="AO150" s="143"/>
      <c r="AP150" s="152" t="s">
        <v>26</v>
      </c>
      <c r="AQ150" s="153" t="s">
        <v>37</v>
      </c>
      <c r="AR150" s="160" t="str">
        <f>IF(BF150&gt;(BB150*1.1),"yes","no")</f>
        <v>yes</v>
      </c>
      <c r="AS150" s="160" t="str">
        <f>IF(BM150&gt;(BL150*1.1),"yes","no")</f>
        <v>yes</v>
      </c>
      <c r="AT150" s="160" t="str">
        <f>IF(BM150&gt;(BL150*1.1),"yes","no")</f>
        <v>yes</v>
      </c>
      <c r="AU150" s="154">
        <v>0</v>
      </c>
      <c r="AV150" s="153" t="s">
        <v>1028</v>
      </c>
      <c r="AW150" s="153" t="s">
        <v>1028</v>
      </c>
      <c r="AX150" s="153" t="s">
        <v>1028</v>
      </c>
      <c r="AY150" s="153" t="s">
        <v>73</v>
      </c>
      <c r="AZ150" s="153" t="s">
        <v>80</v>
      </c>
      <c r="BA150" s="154" t="s">
        <v>80</v>
      </c>
      <c r="BB150" s="152">
        <v>148286</v>
      </c>
      <c r="BC150" s="153">
        <v>148286</v>
      </c>
      <c r="BD150" s="153">
        <v>148286</v>
      </c>
      <c r="BE150" s="157">
        <v>483793</v>
      </c>
      <c r="BF150" s="157">
        <v>483793</v>
      </c>
      <c r="BG150" s="157"/>
      <c r="BH150" s="155"/>
      <c r="BI150" s="152" t="s">
        <v>920</v>
      </c>
      <c r="BJ150" s="153" t="s">
        <v>920</v>
      </c>
      <c r="BK150" s="153" t="s">
        <v>920</v>
      </c>
      <c r="BL150" s="153">
        <v>402871</v>
      </c>
      <c r="BM150" s="153">
        <v>551171</v>
      </c>
      <c r="BN150" s="154">
        <f>SUMIF(BI150:BM150,"&gt;0",BI150:BM150)</f>
        <v>954042</v>
      </c>
      <c r="BO150" s="156"/>
      <c r="BP150" s="148"/>
      <c r="BQ150" s="153"/>
      <c r="BR150" s="153"/>
      <c r="BS150" s="152">
        <v>5100000</v>
      </c>
      <c r="BT150" s="148">
        <v>5239000</v>
      </c>
      <c r="BU150" s="148">
        <v>4875000</v>
      </c>
      <c r="BV150" s="148">
        <v>4533000</v>
      </c>
      <c r="BW150" s="148">
        <v>5376000</v>
      </c>
      <c r="BX150" s="154">
        <f>SUM(BS150:BW150)</f>
        <v>25123000</v>
      </c>
      <c r="BY150" s="143" t="e">
        <f>BI150/BS150</f>
        <v>#VALUE!</v>
      </c>
      <c r="BZ150" s="143" t="e">
        <f>BJ150/BT150</f>
        <v>#VALUE!</v>
      </c>
      <c r="CA150" s="143" t="e">
        <f>BK150/BU150</f>
        <v>#VALUE!</v>
      </c>
      <c r="CB150" s="143">
        <f>BL150/BV150</f>
        <v>8.8875137877785129E-2</v>
      </c>
      <c r="CC150" s="143">
        <f>BM150/BW150</f>
        <v>0.10252436755952381</v>
      </c>
      <c r="CD150" s="259" t="e">
        <f>AVERAGE(BY150:CC150)</f>
        <v>#VALUE!</v>
      </c>
    </row>
    <row r="151" spans="1:82" ht="14.5">
      <c r="A151" s="143" t="s">
        <v>323</v>
      </c>
      <c r="B151" s="143" t="s">
        <v>1139</v>
      </c>
      <c r="C151" s="144" t="s">
        <v>630</v>
      </c>
      <c r="D151" s="144" t="s">
        <v>1140</v>
      </c>
      <c r="E151" s="145" t="s">
        <v>631</v>
      </c>
      <c r="F151" s="143" t="str">
        <f>SUBSTITUTE(E151," ","")</f>
        <v>77122087398</v>
      </c>
      <c r="G151" s="143" t="s">
        <v>1141</v>
      </c>
      <c r="H151" s="143" t="s">
        <v>31</v>
      </c>
      <c r="I151" s="143">
        <v>2382</v>
      </c>
      <c r="J151" s="143">
        <v>-30.611543999999999</v>
      </c>
      <c r="K151" s="143">
        <v>150.16349299999999</v>
      </c>
      <c r="L151" s="143">
        <v>2006</v>
      </c>
      <c r="M151" s="143">
        <v>16</v>
      </c>
      <c r="N151" s="143">
        <v>2033</v>
      </c>
      <c r="O151" s="143"/>
      <c r="P151" s="143"/>
      <c r="Q151" s="143" t="s">
        <v>29</v>
      </c>
      <c r="R151" s="143" t="s">
        <v>29</v>
      </c>
      <c r="S151" s="147"/>
      <c r="T151" s="143"/>
      <c r="U151" s="143"/>
      <c r="V151" s="143"/>
      <c r="W151" s="143"/>
      <c r="X151" s="143"/>
      <c r="Y151" s="143"/>
      <c r="Z151" s="143"/>
      <c r="AA151" s="143"/>
      <c r="AB151" s="143"/>
      <c r="AC151" s="143"/>
      <c r="AD151" s="153"/>
      <c r="AE151" s="153"/>
      <c r="AF151" s="143"/>
      <c r="AG151" s="155"/>
      <c r="AH151" s="147" t="s">
        <v>26</v>
      </c>
      <c r="AI151" s="146" t="s">
        <v>69</v>
      </c>
      <c r="AJ151" s="146" t="s">
        <v>1142</v>
      </c>
      <c r="AK151" s="146" t="s">
        <v>21</v>
      </c>
      <c r="AL151" s="143" t="s">
        <v>99</v>
      </c>
      <c r="AM151" s="143" t="s">
        <v>77</v>
      </c>
      <c r="AN151" s="143">
        <v>8.6</v>
      </c>
      <c r="AO151" s="143"/>
      <c r="AP151" s="152"/>
      <c r="AQ151" s="153"/>
      <c r="AR151" s="153"/>
      <c r="AS151" s="153"/>
      <c r="AT151" s="153"/>
      <c r="AU151" s="154"/>
      <c r="AV151" s="153" t="s">
        <v>41</v>
      </c>
      <c r="AW151" s="153" t="s">
        <v>41</v>
      </c>
      <c r="AX151" s="153" t="s">
        <v>73</v>
      </c>
      <c r="AY151" s="153" t="s">
        <v>73</v>
      </c>
      <c r="AZ151" s="153" t="s">
        <v>73</v>
      </c>
      <c r="BA151" s="154" t="s">
        <v>73</v>
      </c>
      <c r="BB151" s="152">
        <v>186032</v>
      </c>
      <c r="BC151" s="153">
        <v>186032</v>
      </c>
      <c r="BD151" s="153">
        <v>224110</v>
      </c>
      <c r="BE151" s="157">
        <v>224110</v>
      </c>
      <c r="BF151" s="157">
        <v>202244</v>
      </c>
      <c r="BG151" s="157"/>
      <c r="BH151" s="155"/>
      <c r="BI151" s="152">
        <v>183750</v>
      </c>
      <c r="BJ151" s="153">
        <v>177065</v>
      </c>
      <c r="BK151" s="153">
        <v>203082</v>
      </c>
      <c r="BL151" s="153">
        <v>174391</v>
      </c>
      <c r="BM151" s="153">
        <v>184492</v>
      </c>
      <c r="BN151" s="154">
        <f>SUMIF(BI151:BM151,"&gt;0",BI151:BM151)</f>
        <v>922780</v>
      </c>
      <c r="BO151" s="156">
        <v>440000</v>
      </c>
      <c r="BP151" s="148">
        <v>440000</v>
      </c>
      <c r="BQ151" s="153">
        <v>440000</v>
      </c>
      <c r="BR151" s="153">
        <v>440000</v>
      </c>
      <c r="BS151" s="152">
        <v>8000000</v>
      </c>
      <c r="BT151" s="148">
        <v>7900000</v>
      </c>
      <c r="BU151" s="148">
        <v>7400000</v>
      </c>
      <c r="BV151" s="148">
        <v>7500000</v>
      </c>
      <c r="BW151" s="148">
        <v>7000000</v>
      </c>
      <c r="BX151" s="154">
        <f>SUM(BS151:BW151)</f>
        <v>37800000</v>
      </c>
      <c r="BY151" s="143">
        <f>BI151/BS151</f>
        <v>2.296875E-2</v>
      </c>
      <c r="BZ151" s="143">
        <f>BJ151/BT151</f>
        <v>2.2413291139240506E-2</v>
      </c>
      <c r="CA151" s="143">
        <f>BK151/BU151</f>
        <v>2.7443513513513512E-2</v>
      </c>
      <c r="CB151" s="143">
        <f>BL151/BV151</f>
        <v>2.3252133333333334E-2</v>
      </c>
      <c r="CC151" s="143">
        <f>BM151/BW151</f>
        <v>2.6356000000000001E-2</v>
      </c>
      <c r="CD151" s="259">
        <f>AVERAGE(BY151:CC151)</f>
        <v>2.4486737597217471E-2</v>
      </c>
    </row>
    <row r="152" spans="1:82" ht="14.5">
      <c r="A152" s="143" t="s">
        <v>554</v>
      </c>
      <c r="B152" s="143" t="s">
        <v>1017</v>
      </c>
      <c r="C152" s="144" t="s">
        <v>1599</v>
      </c>
      <c r="D152" s="144" t="s">
        <v>1600</v>
      </c>
      <c r="E152" s="145" t="s">
        <v>1914</v>
      </c>
      <c r="F152" s="143" t="str">
        <f>SUBSTITUTE(E152," ","")</f>
        <v>34008675018</v>
      </c>
      <c r="G152" s="143" t="s">
        <v>292</v>
      </c>
      <c r="H152" s="143" t="s">
        <v>292</v>
      </c>
      <c r="I152" s="143" t="s">
        <v>292</v>
      </c>
      <c r="J152" s="143" t="s">
        <v>292</v>
      </c>
      <c r="K152" s="143" t="s">
        <v>292</v>
      </c>
      <c r="L152" s="173" t="s">
        <v>292</v>
      </c>
      <c r="M152" s="173" t="s">
        <v>292</v>
      </c>
      <c r="N152" s="173" t="s">
        <v>292</v>
      </c>
      <c r="O152" s="143"/>
      <c r="P152" s="143"/>
      <c r="Q152" s="143" t="s">
        <v>268</v>
      </c>
      <c r="R152" s="143" t="s">
        <v>79</v>
      </c>
      <c r="S152" s="147"/>
      <c r="T152" s="143"/>
      <c r="U152" s="143"/>
      <c r="V152" s="143"/>
      <c r="W152" s="143"/>
      <c r="X152" s="143"/>
      <c r="Y152" s="143"/>
      <c r="Z152" s="143"/>
      <c r="AA152" s="143"/>
      <c r="AB152" s="143"/>
      <c r="AC152" s="143"/>
      <c r="AD152" s="153"/>
      <c r="AE152" s="153"/>
      <c r="AF152" s="143"/>
      <c r="AG152" s="155"/>
      <c r="AH152" s="150" t="s">
        <v>37</v>
      </c>
      <c r="AI152" s="151" t="s">
        <v>76</v>
      </c>
      <c r="AJ152" s="151" t="s">
        <v>70</v>
      </c>
      <c r="AK152" s="151" t="s">
        <v>70</v>
      </c>
      <c r="AL152" s="151" t="s">
        <v>118</v>
      </c>
      <c r="AM152" s="151" t="s">
        <v>70</v>
      </c>
      <c r="AN152" s="151" t="s">
        <v>70</v>
      </c>
      <c r="AO152" s="151" t="s">
        <v>70</v>
      </c>
      <c r="AP152" s="152"/>
      <c r="AQ152" s="153"/>
      <c r="AR152" s="153"/>
      <c r="AS152" s="153"/>
      <c r="AT152" s="153"/>
      <c r="AU152" s="154"/>
      <c r="AV152" s="153" t="s">
        <v>1028</v>
      </c>
      <c r="AW152" s="153" t="s">
        <v>106</v>
      </c>
      <c r="AX152" s="153" t="s">
        <v>106</v>
      </c>
      <c r="AY152" s="153" t="s">
        <v>106</v>
      </c>
      <c r="AZ152" s="153" t="s">
        <v>106</v>
      </c>
      <c r="BA152" s="154" t="s">
        <v>114</v>
      </c>
      <c r="BB152" s="152">
        <v>323579</v>
      </c>
      <c r="BC152" s="153">
        <v>323579</v>
      </c>
      <c r="BD152" s="153">
        <v>323579</v>
      </c>
      <c r="BE152" s="157">
        <v>323579</v>
      </c>
      <c r="BF152" s="157">
        <v>323579</v>
      </c>
      <c r="BG152" s="157"/>
      <c r="BH152" s="155"/>
      <c r="BI152" s="152">
        <v>236844</v>
      </c>
      <c r="BJ152" s="153">
        <v>252765</v>
      </c>
      <c r="BK152" s="153">
        <v>219421</v>
      </c>
      <c r="BL152" s="153">
        <v>246459</v>
      </c>
      <c r="BM152" s="153">
        <v>212351</v>
      </c>
      <c r="BN152" s="154">
        <f>SUMIF(BI152:BM152,"&gt;0",BI152:BM152)</f>
        <v>1167840</v>
      </c>
      <c r="BO152" s="156"/>
      <c r="BP152" s="148"/>
      <c r="BQ152" s="153"/>
      <c r="BR152" s="153"/>
      <c r="BS152" s="152"/>
      <c r="BT152" s="148"/>
      <c r="BU152" s="148"/>
      <c r="BV152" s="148"/>
      <c r="BW152" s="148"/>
      <c r="BX152" s="154">
        <f>SUM(BS152:BW152)</f>
        <v>0</v>
      </c>
      <c r="BY152" s="143"/>
      <c r="BZ152" s="143"/>
      <c r="CA152" s="143"/>
      <c r="CB152" s="143"/>
      <c r="CC152" s="143"/>
      <c r="CD152" s="143"/>
    </row>
    <row r="153" spans="1:82" ht="14.5">
      <c r="A153" s="143" t="s">
        <v>464</v>
      </c>
      <c r="B153" s="143" t="s">
        <v>1598</v>
      </c>
      <c r="C153" s="144" t="s">
        <v>1599</v>
      </c>
      <c r="D153" s="144" t="s">
        <v>1600</v>
      </c>
      <c r="E153" s="145" t="s">
        <v>1601</v>
      </c>
      <c r="F153" s="143" t="str">
        <f>SUBSTITUTE(E153," ","")</f>
        <v>14008763666</v>
      </c>
      <c r="G153" s="143" t="s">
        <v>1598</v>
      </c>
      <c r="H153" s="143" t="s">
        <v>81</v>
      </c>
      <c r="I153" s="143">
        <v>6532</v>
      </c>
      <c r="J153" s="143">
        <v>-28.823889000000001</v>
      </c>
      <c r="K153" s="143">
        <v>114.67</v>
      </c>
      <c r="L153" s="143" t="s">
        <v>292</v>
      </c>
      <c r="M153" s="143" t="s">
        <v>292</v>
      </c>
      <c r="N153" s="143" t="s">
        <v>292</v>
      </c>
      <c r="O153" s="143"/>
      <c r="P153" s="143"/>
      <c r="Q153" s="143" t="s">
        <v>268</v>
      </c>
      <c r="R153" s="143" t="s">
        <v>79</v>
      </c>
      <c r="S153" s="147"/>
      <c r="T153" s="143"/>
      <c r="U153" s="143"/>
      <c r="V153" s="143"/>
      <c r="W153" s="143"/>
      <c r="X153" s="143"/>
      <c r="Y153" s="143"/>
      <c r="Z153" s="143"/>
      <c r="AA153" s="143"/>
      <c r="AB153" s="143"/>
      <c r="AC153" s="143"/>
      <c r="AD153" s="153"/>
      <c r="AE153" s="153"/>
      <c r="AF153" s="143"/>
      <c r="AG153" s="155"/>
      <c r="AH153" s="150" t="s">
        <v>37</v>
      </c>
      <c r="AI153" s="151" t="s">
        <v>76</v>
      </c>
      <c r="AJ153" s="151" t="s">
        <v>70</v>
      </c>
      <c r="AK153" s="151" t="s">
        <v>70</v>
      </c>
      <c r="AL153" s="151" t="s">
        <v>118</v>
      </c>
      <c r="AM153" s="151" t="s">
        <v>70</v>
      </c>
      <c r="AN153" s="151" t="s">
        <v>70</v>
      </c>
      <c r="AO153" s="151" t="s">
        <v>70</v>
      </c>
      <c r="AP153" s="152"/>
      <c r="AQ153" s="153"/>
      <c r="AR153" s="153"/>
      <c r="AS153" s="153"/>
      <c r="AT153" s="153"/>
      <c r="AU153" s="154"/>
      <c r="AV153" s="153" t="s">
        <v>106</v>
      </c>
      <c r="AW153" s="153" t="s">
        <v>106</v>
      </c>
      <c r="AX153" s="153" t="s">
        <v>106</v>
      </c>
      <c r="AY153" s="153" t="s">
        <v>106</v>
      </c>
      <c r="AZ153" s="153" t="s">
        <v>106</v>
      </c>
      <c r="BA153" s="154" t="s">
        <v>114</v>
      </c>
      <c r="BB153" s="152">
        <v>100000</v>
      </c>
      <c r="BC153" s="153">
        <v>100000</v>
      </c>
      <c r="BD153" s="153">
        <v>100000</v>
      </c>
      <c r="BE153" s="153">
        <v>100000</v>
      </c>
      <c r="BF153" s="153">
        <v>100000</v>
      </c>
      <c r="BG153" s="157"/>
      <c r="BH153" s="155"/>
      <c r="BI153" s="152" t="s">
        <v>920</v>
      </c>
      <c r="BJ153" s="153" t="s">
        <v>920</v>
      </c>
      <c r="BK153" s="153" t="s">
        <v>920</v>
      </c>
      <c r="BL153" s="153" t="s">
        <v>920</v>
      </c>
      <c r="BM153" s="153" t="s">
        <v>920</v>
      </c>
      <c r="BN153" s="154">
        <f>SUMIF(BI153:BM153,"&gt;0",BI153:BM153)</f>
        <v>0</v>
      </c>
      <c r="BO153" s="156"/>
      <c r="BP153" s="148"/>
      <c r="BQ153" s="153"/>
      <c r="BR153" s="153"/>
      <c r="BS153" s="152"/>
      <c r="BT153" s="148"/>
      <c r="BU153" s="148"/>
      <c r="BV153" s="148"/>
      <c r="BW153" s="148"/>
      <c r="BX153" s="154">
        <f>SUM(BS153:BW153)</f>
        <v>0</v>
      </c>
      <c r="BY153" s="143"/>
      <c r="BZ153" s="143"/>
      <c r="CA153" s="143"/>
      <c r="CB153" s="143"/>
      <c r="CC153" s="143"/>
      <c r="CD153" s="143"/>
    </row>
    <row r="154" spans="1:82" ht="14.5">
      <c r="A154" s="143" t="s">
        <v>454</v>
      </c>
      <c r="B154" s="143"/>
      <c r="C154" s="144" t="s">
        <v>686</v>
      </c>
      <c r="D154" s="144" t="s">
        <v>1356</v>
      </c>
      <c r="E154" s="145" t="s">
        <v>687</v>
      </c>
      <c r="F154" s="143" t="str">
        <f>SUBSTITUTE(E154," ","")</f>
        <v>42004080264</v>
      </c>
      <c r="G154" s="143" t="s">
        <v>454</v>
      </c>
      <c r="H154" s="143" t="s">
        <v>53</v>
      </c>
      <c r="I154" s="143">
        <v>4744</v>
      </c>
      <c r="J154" s="143">
        <v>-21.972443999999999</v>
      </c>
      <c r="K154" s="143">
        <v>147.98383200000001</v>
      </c>
      <c r="L154" s="143">
        <v>2012</v>
      </c>
      <c r="M154" s="143">
        <v>10</v>
      </c>
      <c r="N154" s="143">
        <v>0</v>
      </c>
      <c r="O154" s="143"/>
      <c r="P154" s="143"/>
      <c r="Q154" s="143" t="s">
        <v>158</v>
      </c>
      <c r="R154" s="143" t="s">
        <v>72</v>
      </c>
      <c r="S154" s="147" t="s">
        <v>612</v>
      </c>
      <c r="T154" s="143">
        <v>2</v>
      </c>
      <c r="U154" s="143" t="s">
        <v>1570</v>
      </c>
      <c r="V154" s="143" t="s">
        <v>1571</v>
      </c>
      <c r="W154" s="143" t="s">
        <v>1124</v>
      </c>
      <c r="X154" s="143" t="s">
        <v>1125</v>
      </c>
      <c r="Y154" s="143" t="s">
        <v>1572</v>
      </c>
      <c r="Z154" s="143" t="s">
        <v>1573</v>
      </c>
      <c r="AA154" s="143" t="s">
        <v>1574</v>
      </c>
      <c r="AB154" s="153">
        <v>22336</v>
      </c>
      <c r="AC154" s="153" t="s">
        <v>1044</v>
      </c>
      <c r="AD154" s="153"/>
      <c r="AE154" s="153"/>
      <c r="AF154" s="143" t="s">
        <v>1045</v>
      </c>
      <c r="AG154" s="155"/>
      <c r="AH154" s="150" t="s">
        <v>37</v>
      </c>
      <c r="AI154" s="151" t="s">
        <v>76</v>
      </c>
      <c r="AJ154" s="151" t="s">
        <v>70</v>
      </c>
      <c r="AK154" s="151" t="s">
        <v>70</v>
      </c>
      <c r="AL154" s="151" t="s">
        <v>118</v>
      </c>
      <c r="AM154" s="151" t="s">
        <v>70</v>
      </c>
      <c r="AN154" s="151" t="s">
        <v>70</v>
      </c>
      <c r="AO154" s="151" t="s">
        <v>70</v>
      </c>
      <c r="AP154" s="152" t="s">
        <v>26</v>
      </c>
      <c r="AQ154" s="153" t="s">
        <v>26</v>
      </c>
      <c r="AR154" s="160" t="str">
        <f>IF(BF154&gt;(BD154*1.1),"yes","no")</f>
        <v>no</v>
      </c>
      <c r="AS154" s="160" t="str">
        <f>IF(BM154&gt;(BJ154*1.1),"yes","no")</f>
        <v>no</v>
      </c>
      <c r="AT154" s="160" t="str">
        <f>IF(BM154&gt;(BI154*1.1),"yes","no")</f>
        <v>yes</v>
      </c>
      <c r="AU154" s="154">
        <v>129955</v>
      </c>
      <c r="AV154" s="153" t="s">
        <v>59</v>
      </c>
      <c r="AW154" s="153" t="s">
        <v>59</v>
      </c>
      <c r="AX154" s="153" t="s">
        <v>80</v>
      </c>
      <c r="AY154" s="153" t="s">
        <v>80</v>
      </c>
      <c r="AZ154" s="153" t="s">
        <v>80</v>
      </c>
      <c r="BA154" s="154" t="s">
        <v>114</v>
      </c>
      <c r="BB154" s="152">
        <v>562819</v>
      </c>
      <c r="BC154" s="153">
        <v>562819</v>
      </c>
      <c r="BD154" s="153">
        <v>651543</v>
      </c>
      <c r="BE154" s="153">
        <v>653328</v>
      </c>
      <c r="BF154" s="153">
        <v>623774</v>
      </c>
      <c r="BG154" s="157"/>
      <c r="BH154" s="155"/>
      <c r="BI154" s="152">
        <v>473415</v>
      </c>
      <c r="BJ154" s="153">
        <v>603543</v>
      </c>
      <c r="BK154" s="153">
        <v>901498</v>
      </c>
      <c r="BL154" s="153">
        <v>606383</v>
      </c>
      <c r="BM154" s="153">
        <v>528383</v>
      </c>
      <c r="BN154" s="154">
        <f>SUMIF(BI154:BM154,"&gt;0",BI154:BM154)</f>
        <v>3113222</v>
      </c>
      <c r="BO154" s="156"/>
      <c r="BP154" s="148"/>
      <c r="BQ154" s="153"/>
      <c r="BR154" s="153"/>
      <c r="BS154" s="152"/>
      <c r="BT154" s="148"/>
      <c r="BU154" s="148"/>
      <c r="BV154" s="148"/>
      <c r="BW154" s="148"/>
      <c r="BX154" s="154">
        <f>SUM(BS154:BW154)</f>
        <v>0</v>
      </c>
      <c r="BY154" s="143"/>
      <c r="BZ154" s="143"/>
      <c r="CA154" s="143"/>
      <c r="CB154" s="143"/>
      <c r="CC154" s="143"/>
      <c r="CD154" s="259"/>
    </row>
    <row r="155" spans="1:82" ht="14.5">
      <c r="A155" s="143" t="s">
        <v>500</v>
      </c>
      <c r="B155" s="143"/>
      <c r="C155" s="144" t="s">
        <v>686</v>
      </c>
      <c r="D155" s="144" t="s">
        <v>1356</v>
      </c>
      <c r="E155" s="145" t="s">
        <v>687</v>
      </c>
      <c r="F155" s="143" t="str">
        <f>SUBSTITUTE(E155," ","")</f>
        <v>42004080264</v>
      </c>
      <c r="G155" s="143" t="s">
        <v>1725</v>
      </c>
      <c r="H155" s="143" t="s">
        <v>53</v>
      </c>
      <c r="I155" s="143">
        <v>4825</v>
      </c>
      <c r="J155" s="143">
        <v>-21.880932000000001</v>
      </c>
      <c r="K155" s="143">
        <v>139.97639000000001</v>
      </c>
      <c r="L155" s="173" t="s">
        <v>292</v>
      </c>
      <c r="M155" s="173" t="s">
        <v>292</v>
      </c>
      <c r="N155" s="143">
        <v>0</v>
      </c>
      <c r="O155" s="143"/>
      <c r="P155" s="143"/>
      <c r="Q155" s="143" t="s">
        <v>159</v>
      </c>
      <c r="R155" s="143" t="s">
        <v>72</v>
      </c>
      <c r="S155" s="147"/>
      <c r="T155" s="143"/>
      <c r="U155" s="143"/>
      <c r="V155" s="143"/>
      <c r="W155" s="143"/>
      <c r="X155" s="143"/>
      <c r="Y155" s="143"/>
      <c r="Z155" s="143"/>
      <c r="AA155" s="143"/>
      <c r="AB155" s="143"/>
      <c r="AC155" s="143"/>
      <c r="AD155" s="153"/>
      <c r="AE155" s="153"/>
      <c r="AF155" s="143"/>
      <c r="AG155" s="155"/>
      <c r="AH155" s="150" t="s">
        <v>37</v>
      </c>
      <c r="AI155" s="151" t="s">
        <v>76</v>
      </c>
      <c r="AJ155" s="151" t="s">
        <v>70</v>
      </c>
      <c r="AK155" s="151" t="s">
        <v>70</v>
      </c>
      <c r="AL155" s="151" t="s">
        <v>118</v>
      </c>
      <c r="AM155" s="151" t="s">
        <v>70</v>
      </c>
      <c r="AN155" s="151" t="s">
        <v>70</v>
      </c>
      <c r="AO155" s="151" t="s">
        <v>70</v>
      </c>
      <c r="AP155" s="152"/>
      <c r="AQ155" s="153"/>
      <c r="AR155" s="153"/>
      <c r="AS155" s="153"/>
      <c r="AT155" s="153"/>
      <c r="AU155" s="154"/>
      <c r="AV155" s="153" t="s">
        <v>1028</v>
      </c>
      <c r="AW155" s="153" t="s">
        <v>106</v>
      </c>
      <c r="AX155" s="153" t="s">
        <v>106</v>
      </c>
      <c r="AY155" s="153" t="s">
        <v>73</v>
      </c>
      <c r="AZ155" s="153" t="s">
        <v>73</v>
      </c>
      <c r="BA155" s="154" t="s">
        <v>73</v>
      </c>
      <c r="BB155" s="152">
        <v>538521</v>
      </c>
      <c r="BC155" s="153">
        <v>538521</v>
      </c>
      <c r="BD155" s="153">
        <v>538521</v>
      </c>
      <c r="BE155" s="157">
        <v>591456</v>
      </c>
      <c r="BF155" s="157">
        <v>591456</v>
      </c>
      <c r="BG155" s="157"/>
      <c r="BH155" s="155"/>
      <c r="BI155" s="152">
        <v>529599</v>
      </c>
      <c r="BJ155" s="153">
        <v>446927</v>
      </c>
      <c r="BK155" s="153">
        <v>438258</v>
      </c>
      <c r="BL155" s="153">
        <v>511232</v>
      </c>
      <c r="BM155" s="153">
        <v>501331</v>
      </c>
      <c r="BN155" s="154">
        <f>SUMIF(BI155:BM155,"&gt;0",BI155:BM155)</f>
        <v>2427347</v>
      </c>
      <c r="BO155" s="156"/>
      <c r="BP155" s="148"/>
      <c r="BQ155" s="153"/>
      <c r="BR155" s="153"/>
      <c r="BS155" s="152"/>
      <c r="BT155" s="148"/>
      <c r="BU155" s="148"/>
      <c r="BV155" s="148"/>
      <c r="BW155" s="148"/>
      <c r="BX155" s="154">
        <f>SUM(BS155:BW155)</f>
        <v>0</v>
      </c>
      <c r="BY155" s="143"/>
      <c r="BZ155" s="143"/>
      <c r="CA155" s="143"/>
      <c r="CB155" s="143"/>
      <c r="CC155" s="143"/>
      <c r="CD155" s="259"/>
    </row>
    <row r="156" spans="1:82" ht="14.5">
      <c r="A156" s="143" t="s">
        <v>393</v>
      </c>
      <c r="B156" s="143"/>
      <c r="C156" s="144" t="s">
        <v>686</v>
      </c>
      <c r="D156" s="144" t="s">
        <v>1356</v>
      </c>
      <c r="E156" s="145" t="s">
        <v>687</v>
      </c>
      <c r="F156" s="143" t="str">
        <f>SUBSTITUTE(E156," ","")</f>
        <v>42004080264</v>
      </c>
      <c r="G156" s="143" t="s">
        <v>1357</v>
      </c>
      <c r="H156" s="143" t="s">
        <v>53</v>
      </c>
      <c r="I156" s="143">
        <v>4172</v>
      </c>
      <c r="J156" s="143">
        <v>-27.433889000000001</v>
      </c>
      <c r="K156" s="143">
        <v>153.12394800000001</v>
      </c>
      <c r="L156" s="143">
        <v>1972</v>
      </c>
      <c r="M156" s="143">
        <v>50</v>
      </c>
      <c r="N156" s="143">
        <v>2022</v>
      </c>
      <c r="O156" s="143"/>
      <c r="P156" s="143"/>
      <c r="Q156" s="143" t="s">
        <v>159</v>
      </c>
      <c r="R156" s="143" t="s">
        <v>72</v>
      </c>
      <c r="S156" s="147"/>
      <c r="T156" s="143"/>
      <c r="U156" s="143"/>
      <c r="V156" s="143"/>
      <c r="W156" s="143"/>
      <c r="X156" s="143"/>
      <c r="Y156" s="143"/>
      <c r="Z156" s="143"/>
      <c r="AA156" s="143"/>
      <c r="AB156" s="143"/>
      <c r="AC156" s="143"/>
      <c r="AD156" s="153"/>
      <c r="AE156" s="153"/>
      <c r="AF156" s="143"/>
      <c r="AG156" s="155"/>
      <c r="AH156" s="150" t="s">
        <v>37</v>
      </c>
      <c r="AI156" s="151" t="s">
        <v>76</v>
      </c>
      <c r="AJ156" s="151" t="s">
        <v>70</v>
      </c>
      <c r="AK156" s="151" t="s">
        <v>70</v>
      </c>
      <c r="AL156" s="151" t="s">
        <v>118</v>
      </c>
      <c r="AM156" s="151" t="s">
        <v>70</v>
      </c>
      <c r="AN156" s="151" t="s">
        <v>70</v>
      </c>
      <c r="AO156" s="151" t="s">
        <v>70</v>
      </c>
      <c r="AP156" s="152"/>
      <c r="AQ156" s="153"/>
      <c r="AR156" s="153"/>
      <c r="AS156" s="153"/>
      <c r="AT156" s="153"/>
      <c r="AU156" s="154"/>
      <c r="AV156" s="153" t="s">
        <v>1028</v>
      </c>
      <c r="AW156" s="153" t="s">
        <v>106</v>
      </c>
      <c r="AX156" s="153" t="s">
        <v>106</v>
      </c>
      <c r="AY156" s="153" t="s">
        <v>106</v>
      </c>
      <c r="AZ156" s="153" t="s">
        <v>106</v>
      </c>
      <c r="BA156" s="154" t="s">
        <v>98</v>
      </c>
      <c r="BB156" s="152">
        <v>503185</v>
      </c>
      <c r="BC156" s="153">
        <v>503185</v>
      </c>
      <c r="BD156" s="153">
        <v>503185</v>
      </c>
      <c r="BE156" s="157">
        <v>503185</v>
      </c>
      <c r="BF156" s="157">
        <v>503185</v>
      </c>
      <c r="BG156" s="157"/>
      <c r="BH156" s="155"/>
      <c r="BI156" s="152">
        <v>431010</v>
      </c>
      <c r="BJ156" s="153">
        <v>446927</v>
      </c>
      <c r="BK156" s="153">
        <v>349366</v>
      </c>
      <c r="BL156" s="153">
        <v>373876</v>
      </c>
      <c r="BM156" s="153">
        <v>444731</v>
      </c>
      <c r="BN156" s="154">
        <f>SUMIF(BI156:BM156,"&gt;0",BI156:BM156)</f>
        <v>2045910</v>
      </c>
      <c r="BO156" s="156"/>
      <c r="BP156" s="148"/>
      <c r="BQ156" s="153"/>
      <c r="BR156" s="153"/>
      <c r="BS156" s="152"/>
      <c r="BT156" s="148"/>
      <c r="BU156" s="148"/>
      <c r="BV156" s="148"/>
      <c r="BW156" s="148"/>
      <c r="BX156" s="154">
        <f>SUM(BS156:BW156)</f>
        <v>0</v>
      </c>
      <c r="BY156" s="143"/>
      <c r="BZ156" s="143"/>
      <c r="CA156" s="143"/>
      <c r="CB156" s="143"/>
      <c r="CC156" s="143"/>
      <c r="CD156" s="259"/>
    </row>
    <row r="157" spans="1:82" ht="14.5">
      <c r="A157" s="143" t="s">
        <v>522</v>
      </c>
      <c r="B157" s="143" t="s">
        <v>1811</v>
      </c>
      <c r="C157" s="144" t="s">
        <v>795</v>
      </c>
      <c r="D157" s="144" t="s">
        <v>1812</v>
      </c>
      <c r="E157" s="145" t="s">
        <v>796</v>
      </c>
      <c r="F157" s="143" t="str">
        <f>SUBSTITUTE(E157," ","")</f>
        <v>63079889268</v>
      </c>
      <c r="G157" s="143" t="s">
        <v>1253</v>
      </c>
      <c r="H157" s="143" t="s">
        <v>53</v>
      </c>
      <c r="I157" s="143">
        <v>4718</v>
      </c>
      <c r="J157" s="143">
        <v>-24.5379</v>
      </c>
      <c r="K157" s="143">
        <v>150.03100000000001</v>
      </c>
      <c r="L157" s="143">
        <v>2000</v>
      </c>
      <c r="M157" s="143">
        <v>22</v>
      </c>
      <c r="N157" s="143">
        <v>0</v>
      </c>
      <c r="O157" s="143"/>
      <c r="P157" s="143"/>
      <c r="Q157" s="143" t="s">
        <v>139</v>
      </c>
      <c r="R157" s="143" t="s">
        <v>72</v>
      </c>
      <c r="S157" s="147"/>
      <c r="T157" s="143"/>
      <c r="U157" s="143"/>
      <c r="V157" s="143"/>
      <c r="W157" s="143"/>
      <c r="X157" s="143"/>
      <c r="Y157" s="143"/>
      <c r="Z157" s="143"/>
      <c r="AA157" s="143"/>
      <c r="AB157" s="143"/>
      <c r="AC157" s="143"/>
      <c r="AD157" s="153"/>
      <c r="AE157" s="153"/>
      <c r="AF157" s="143"/>
      <c r="AG157" s="155"/>
      <c r="AH157" s="150" t="s">
        <v>37</v>
      </c>
      <c r="AI157" s="151" t="s">
        <v>76</v>
      </c>
      <c r="AJ157" s="151" t="s">
        <v>70</v>
      </c>
      <c r="AK157" s="151" t="s">
        <v>70</v>
      </c>
      <c r="AL157" s="151" t="s">
        <v>118</v>
      </c>
      <c r="AM157" s="151" t="s">
        <v>70</v>
      </c>
      <c r="AN157" s="151" t="s">
        <v>70</v>
      </c>
      <c r="AO157" s="151" t="s">
        <v>70</v>
      </c>
      <c r="AP157" s="152"/>
      <c r="AQ157" s="153"/>
      <c r="AR157" s="153"/>
      <c r="AS157" s="153"/>
      <c r="AT157" s="153"/>
      <c r="AU157" s="154"/>
      <c r="AV157" s="153" t="s">
        <v>1028</v>
      </c>
      <c r="AW157" s="153" t="s">
        <v>106</v>
      </c>
      <c r="AX157" s="153" t="s">
        <v>106</v>
      </c>
      <c r="AY157" s="153" t="s">
        <v>106</v>
      </c>
      <c r="AZ157" s="153" t="s">
        <v>73</v>
      </c>
      <c r="BA157" s="154" t="s">
        <v>73</v>
      </c>
      <c r="BB157" s="152">
        <v>691549</v>
      </c>
      <c r="BC157" s="153">
        <v>691549</v>
      </c>
      <c r="BD157" s="153">
        <v>691549</v>
      </c>
      <c r="BE157" s="157">
        <v>691549</v>
      </c>
      <c r="BF157" s="157">
        <v>271190</v>
      </c>
      <c r="BG157" s="157"/>
      <c r="BH157" s="155"/>
      <c r="BI157" s="152">
        <v>167718</v>
      </c>
      <c r="BJ157" s="153">
        <v>153957</v>
      </c>
      <c r="BK157" s="153">
        <v>151291</v>
      </c>
      <c r="BL157" s="153">
        <v>173086</v>
      </c>
      <c r="BM157" s="153">
        <v>170277</v>
      </c>
      <c r="BN157" s="154">
        <f>SUMIF(BI157:BM157,"&gt;0",BI157:BM157)</f>
        <v>816329</v>
      </c>
      <c r="BO157" s="156"/>
      <c r="BP157" s="148"/>
      <c r="BQ157" s="153"/>
      <c r="BR157" s="153"/>
      <c r="BS157" s="152"/>
      <c r="BT157" s="148"/>
      <c r="BU157" s="148"/>
      <c r="BV157" s="148"/>
      <c r="BW157" s="148"/>
      <c r="BX157" s="154">
        <f>SUM(BS157:BW157)</f>
        <v>0</v>
      </c>
      <c r="BY157" s="143"/>
      <c r="BZ157" s="143"/>
      <c r="CA157" s="143"/>
      <c r="CB157" s="143"/>
      <c r="CC157" s="143"/>
      <c r="CD157" s="143"/>
    </row>
    <row r="158" spans="1:82" ht="14.5">
      <c r="A158" s="143" t="s">
        <v>539</v>
      </c>
      <c r="B158" s="143"/>
      <c r="C158" s="144"/>
      <c r="D158" s="144" t="s">
        <v>1869</v>
      </c>
      <c r="E158" s="145" t="s">
        <v>811</v>
      </c>
      <c r="F158" s="143" t="str">
        <f>SUBSTITUTE(E158," ","")</f>
        <v>28111244896</v>
      </c>
      <c r="G158" s="143" t="s">
        <v>1870</v>
      </c>
      <c r="H158" s="143" t="s">
        <v>31</v>
      </c>
      <c r="I158" s="143">
        <v>2517</v>
      </c>
      <c r="J158" s="143">
        <v>-34.358598999999998</v>
      </c>
      <c r="K158" s="143">
        <v>150.89337499999999</v>
      </c>
      <c r="L158" s="143" t="s">
        <v>292</v>
      </c>
      <c r="M158" s="143" t="s">
        <v>292</v>
      </c>
      <c r="N158" s="143" t="s">
        <v>292</v>
      </c>
      <c r="O158" s="143"/>
      <c r="P158" s="143"/>
      <c r="Q158" s="143" t="s">
        <v>29</v>
      </c>
      <c r="R158" s="143" t="s">
        <v>29</v>
      </c>
      <c r="S158" s="147"/>
      <c r="T158" s="143"/>
      <c r="U158" s="143"/>
      <c r="V158" s="143"/>
      <c r="W158" s="143"/>
      <c r="X158" s="143"/>
      <c r="Y158" s="143"/>
      <c r="Z158" s="143"/>
      <c r="AA158" s="143"/>
      <c r="AB158" s="143"/>
      <c r="AC158" s="143"/>
      <c r="AD158" s="153"/>
      <c r="AE158" s="153"/>
      <c r="AF158" s="143"/>
      <c r="AG158" s="155"/>
      <c r="AH158" s="147" t="s">
        <v>26</v>
      </c>
      <c r="AI158" s="146" t="s">
        <v>25</v>
      </c>
      <c r="AJ158" s="146" t="s">
        <v>1363</v>
      </c>
      <c r="AK158" s="146" t="s">
        <v>33</v>
      </c>
      <c r="AL158" s="143" t="s">
        <v>134</v>
      </c>
      <c r="AM158" s="143"/>
      <c r="AN158" s="143"/>
      <c r="AO158" s="143"/>
      <c r="AP158" s="152"/>
      <c r="AQ158" s="153"/>
      <c r="AR158" s="153"/>
      <c r="AS158" s="153"/>
      <c r="AT158" s="153"/>
      <c r="AU158" s="154"/>
      <c r="AV158" s="153" t="s">
        <v>106</v>
      </c>
      <c r="AW158" s="153" t="s">
        <v>106</v>
      </c>
      <c r="AX158" s="153" t="s">
        <v>106</v>
      </c>
      <c r="AY158" s="153" t="s">
        <v>106</v>
      </c>
      <c r="AZ158" s="153" t="s">
        <v>73</v>
      </c>
      <c r="BA158" s="154" t="s">
        <v>73</v>
      </c>
      <c r="BB158" s="152">
        <v>655650</v>
      </c>
      <c r="BC158" s="153">
        <v>655650</v>
      </c>
      <c r="BD158" s="153">
        <v>655650</v>
      </c>
      <c r="BE158" s="153">
        <v>655650</v>
      </c>
      <c r="BF158" s="157">
        <v>1115025</v>
      </c>
      <c r="BG158" s="157"/>
      <c r="BH158" s="155"/>
      <c r="BI158" s="152" t="s">
        <v>920</v>
      </c>
      <c r="BJ158" s="153" t="s">
        <v>920</v>
      </c>
      <c r="BK158" s="153" t="s">
        <v>920</v>
      </c>
      <c r="BL158" s="153">
        <v>182578</v>
      </c>
      <c r="BM158" s="153" t="s">
        <v>920</v>
      </c>
      <c r="BN158" s="154">
        <f>SUMIF(BI158:BM158,"&gt;0",BI158:BM158)</f>
        <v>182578</v>
      </c>
      <c r="BO158" s="156"/>
      <c r="BP158" s="148"/>
      <c r="BQ158" s="153"/>
      <c r="BR158" s="153"/>
      <c r="BS158" s="156" t="s">
        <v>1096</v>
      </c>
      <c r="BT158" s="148" t="s">
        <v>1096</v>
      </c>
      <c r="BU158" s="148" t="s">
        <v>1096</v>
      </c>
      <c r="BV158" s="148" t="s">
        <v>1096</v>
      </c>
      <c r="BW158" s="148" t="s">
        <v>1096</v>
      </c>
      <c r="BX158" s="154">
        <f>SUM(BS158:BW158)</f>
        <v>0</v>
      </c>
      <c r="BY158" s="143" t="e">
        <f>BI158/BS158</f>
        <v>#VALUE!</v>
      </c>
      <c r="BZ158" s="143" t="e">
        <f>BJ158/BT158</f>
        <v>#VALUE!</v>
      </c>
      <c r="CA158" s="143" t="e">
        <f>BK158/BU158</f>
        <v>#VALUE!</v>
      </c>
      <c r="CB158" s="143" t="e">
        <f>BL158/BV158</f>
        <v>#VALUE!</v>
      </c>
      <c r="CC158" s="143" t="e">
        <f>BM158/BW158</f>
        <v>#VALUE!</v>
      </c>
      <c r="CD158" s="143" t="e">
        <f>AVERAGE(BY158:CC158)</f>
        <v>#VALUE!</v>
      </c>
    </row>
    <row r="159" spans="1:82" ht="14.5">
      <c r="A159" s="143" t="s">
        <v>556</v>
      </c>
      <c r="B159" s="143" t="s">
        <v>1916</v>
      </c>
      <c r="C159" s="144" t="s">
        <v>819</v>
      </c>
      <c r="D159" s="144" t="s">
        <v>1917</v>
      </c>
      <c r="E159" s="145" t="s">
        <v>820</v>
      </c>
      <c r="F159" s="143" t="str">
        <f>SUBSTITUTE(E159," ","")</f>
        <v>48150217262</v>
      </c>
      <c r="G159" s="143" t="s">
        <v>1918</v>
      </c>
      <c r="H159" s="143" t="s">
        <v>81</v>
      </c>
      <c r="I159" s="143">
        <v>6000</v>
      </c>
      <c r="J159" s="143">
        <v>-13.9</v>
      </c>
      <c r="K159" s="143">
        <v>123.3</v>
      </c>
      <c r="L159" s="143" t="s">
        <v>292</v>
      </c>
      <c r="M159" s="143" t="s">
        <v>292</v>
      </c>
      <c r="N159" s="143" t="s">
        <v>292</v>
      </c>
      <c r="O159" s="143"/>
      <c r="P159" s="143"/>
      <c r="Q159" s="143" t="s">
        <v>121</v>
      </c>
      <c r="R159" s="143" t="s">
        <v>58</v>
      </c>
      <c r="S159" s="147" t="s">
        <v>612</v>
      </c>
      <c r="T159" s="143">
        <v>1</v>
      </c>
      <c r="U159" s="143" t="s">
        <v>1919</v>
      </c>
      <c r="V159" s="143" t="s">
        <v>1920</v>
      </c>
      <c r="W159" s="143" t="s">
        <v>1921</v>
      </c>
      <c r="X159" s="143" t="s">
        <v>1922</v>
      </c>
      <c r="Y159" s="143" t="s">
        <v>1923</v>
      </c>
      <c r="Z159" s="143" t="s">
        <v>1924</v>
      </c>
      <c r="AA159" s="168">
        <v>42225</v>
      </c>
      <c r="AB159" s="153">
        <v>31038</v>
      </c>
      <c r="AC159" s="153" t="s">
        <v>1044</v>
      </c>
      <c r="AD159" s="153"/>
      <c r="AE159" s="153"/>
      <c r="AF159" s="143" t="s">
        <v>1045</v>
      </c>
      <c r="AG159" s="155"/>
      <c r="AH159" s="147" t="s">
        <v>26</v>
      </c>
      <c r="AI159" s="151" t="s">
        <v>76</v>
      </c>
      <c r="AJ159" s="146"/>
      <c r="AK159" s="146" t="s">
        <v>292</v>
      </c>
      <c r="AL159" s="146" t="s">
        <v>292</v>
      </c>
      <c r="AM159" s="143"/>
      <c r="AN159" s="143"/>
      <c r="AO159" s="143"/>
      <c r="AP159" s="152" t="s">
        <v>26</v>
      </c>
      <c r="AQ159" s="153" t="s">
        <v>26</v>
      </c>
      <c r="AR159" s="160" t="str">
        <f>IF(BF159&gt;(BE159*1.1),"yes","no")</f>
        <v>no</v>
      </c>
      <c r="AS159" s="160" t="str">
        <f>IF(BM159&gt;(BJ159*1.1),"yes","no")</f>
        <v>yes</v>
      </c>
      <c r="AT159" s="160" t="str">
        <f>IF(BM159&gt;(BJ159*1.1),"yes","no")</f>
        <v>yes</v>
      </c>
      <c r="AU159" s="154">
        <v>0</v>
      </c>
      <c r="AV159" s="153" t="s">
        <v>114</v>
      </c>
      <c r="AW159" s="153" t="s">
        <v>59</v>
      </c>
      <c r="AX159" s="153" t="s">
        <v>59</v>
      </c>
      <c r="AY159" s="153" t="s">
        <v>66</v>
      </c>
      <c r="AZ159" s="153" t="s">
        <v>80</v>
      </c>
      <c r="BA159" s="154" t="s">
        <v>73</v>
      </c>
      <c r="BB159" s="152" t="s">
        <v>1925</v>
      </c>
      <c r="BC159" s="153">
        <v>6952477</v>
      </c>
      <c r="BD159" s="153">
        <v>6952477</v>
      </c>
      <c r="BE159" s="157">
        <v>6971525</v>
      </c>
      <c r="BF159" s="157">
        <v>7067789</v>
      </c>
      <c r="BG159" s="157"/>
      <c r="BH159" s="155"/>
      <c r="BI159" s="152" t="s">
        <v>920</v>
      </c>
      <c r="BJ159" s="153">
        <v>382628</v>
      </c>
      <c r="BK159" s="153">
        <v>6233984</v>
      </c>
      <c r="BL159" s="153">
        <v>7623682</v>
      </c>
      <c r="BM159" s="153">
        <v>6351245</v>
      </c>
      <c r="BN159" s="154">
        <f>SUMIF(BI159:BM159,"&gt;0",BI159:BM159)</f>
        <v>20591539</v>
      </c>
      <c r="BO159" s="156">
        <v>7000000</v>
      </c>
      <c r="BP159" s="148">
        <v>7000000</v>
      </c>
      <c r="BQ159" s="153">
        <v>7000000</v>
      </c>
      <c r="BR159" s="153">
        <v>7000000</v>
      </c>
      <c r="BS159" s="152"/>
      <c r="BT159" s="148"/>
      <c r="BU159" s="148"/>
      <c r="BV159" s="148"/>
      <c r="BW159" s="148"/>
      <c r="BX159" s="154">
        <f>SUM(BS159:BW159)</f>
        <v>0</v>
      </c>
      <c r="BY159" s="143"/>
      <c r="BZ159" s="143"/>
      <c r="CA159" s="143"/>
      <c r="CB159" s="143"/>
      <c r="CC159" s="143"/>
      <c r="CD159" s="259"/>
    </row>
    <row r="160" spans="1:82" ht="14.5">
      <c r="A160" s="143" t="s">
        <v>449</v>
      </c>
      <c r="B160" s="143" t="s">
        <v>1549</v>
      </c>
      <c r="C160" s="144" t="s">
        <v>741</v>
      </c>
      <c r="D160" s="144" t="s">
        <v>1550</v>
      </c>
      <c r="E160" s="145" t="s">
        <v>1551</v>
      </c>
      <c r="F160" s="143" t="str">
        <f>SUBSTITUTE(E160," ","")</f>
        <v>27004210164</v>
      </c>
      <c r="G160" s="143" t="s">
        <v>1552</v>
      </c>
      <c r="H160" s="143" t="s">
        <v>42</v>
      </c>
      <c r="I160" s="143">
        <v>800</v>
      </c>
      <c r="J160" s="143">
        <v>-12.676434</v>
      </c>
      <c r="K160" s="143">
        <v>124.543847</v>
      </c>
      <c r="L160" s="143">
        <v>2013</v>
      </c>
      <c r="M160" s="143">
        <v>9</v>
      </c>
      <c r="N160" s="143" t="s">
        <v>292</v>
      </c>
      <c r="O160" s="143"/>
      <c r="P160" s="143"/>
      <c r="Q160" s="143" t="s">
        <v>121</v>
      </c>
      <c r="R160" s="143" t="s">
        <v>58</v>
      </c>
      <c r="S160" s="147"/>
      <c r="T160" s="143"/>
      <c r="U160" s="143"/>
      <c r="V160" s="143"/>
      <c r="W160" s="143"/>
      <c r="X160" s="143"/>
      <c r="Y160" s="143"/>
      <c r="Z160" s="143"/>
      <c r="AA160" s="143"/>
      <c r="AB160" s="143"/>
      <c r="AC160" s="143"/>
      <c r="AD160" s="153"/>
      <c r="AE160" s="153"/>
      <c r="AF160" s="143"/>
      <c r="AG160" s="155"/>
      <c r="AH160" s="147" t="s">
        <v>26</v>
      </c>
      <c r="AI160" s="151" t="s">
        <v>76</v>
      </c>
      <c r="AJ160" s="146"/>
      <c r="AK160" s="146" t="s">
        <v>292</v>
      </c>
      <c r="AL160" s="146" t="s">
        <v>292</v>
      </c>
      <c r="AM160" s="143"/>
      <c r="AN160" s="143"/>
      <c r="AO160" s="143"/>
      <c r="AP160" s="152"/>
      <c r="AQ160" s="153"/>
      <c r="AR160" s="153"/>
      <c r="AS160" s="153"/>
      <c r="AT160" s="153"/>
      <c r="AU160" s="154"/>
      <c r="AV160" s="153" t="s">
        <v>106</v>
      </c>
      <c r="AW160" s="153" t="s">
        <v>106</v>
      </c>
      <c r="AX160" s="153" t="s">
        <v>106</v>
      </c>
      <c r="AY160" s="153" t="s">
        <v>106</v>
      </c>
      <c r="AZ160" s="153" t="s">
        <v>73</v>
      </c>
      <c r="BA160" s="154" t="s">
        <v>73</v>
      </c>
      <c r="BB160" s="152">
        <v>299674</v>
      </c>
      <c r="BC160" s="153">
        <v>299674</v>
      </c>
      <c r="BD160" s="153">
        <v>299674</v>
      </c>
      <c r="BE160" s="157">
        <v>299674</v>
      </c>
      <c r="BF160" s="157">
        <v>332536</v>
      </c>
      <c r="BG160" s="157"/>
      <c r="BH160" s="155"/>
      <c r="BI160" s="152">
        <v>276839</v>
      </c>
      <c r="BJ160" s="153">
        <v>234225</v>
      </c>
      <c r="BK160" s="153">
        <v>280693</v>
      </c>
      <c r="BL160" s="153">
        <v>204183</v>
      </c>
      <c r="BM160" s="153">
        <v>247895</v>
      </c>
      <c r="BN160" s="154">
        <f>SUMIF(BI160:BM160,"&gt;0",BI160:BM160)</f>
        <v>1243835</v>
      </c>
      <c r="BO160" s="156"/>
      <c r="BP160" s="148"/>
      <c r="BQ160" s="153"/>
      <c r="BR160" s="153"/>
      <c r="BS160" s="152"/>
      <c r="BT160" s="148"/>
      <c r="BU160" s="148"/>
      <c r="BV160" s="148"/>
      <c r="BW160" s="148"/>
      <c r="BX160" s="154">
        <f>SUM(BS160:BW160)</f>
        <v>0</v>
      </c>
      <c r="BY160" s="143"/>
      <c r="BZ160" s="143"/>
      <c r="CA160" s="143"/>
      <c r="CB160" s="143"/>
      <c r="CC160" s="143"/>
      <c r="CD160" s="143"/>
    </row>
    <row r="161" spans="1:82" ht="14.5">
      <c r="A161" s="143" t="s">
        <v>567</v>
      </c>
      <c r="B161" s="143" t="s">
        <v>1017</v>
      </c>
      <c r="C161" s="144" t="s">
        <v>1964</v>
      </c>
      <c r="D161" s="144" t="s">
        <v>1965</v>
      </c>
      <c r="E161" s="145" t="s">
        <v>1966</v>
      </c>
      <c r="F161" s="143" t="str">
        <f>SUBSTITUTE(E161," ","")</f>
        <v>25006592089</v>
      </c>
      <c r="G161" s="143" t="s">
        <v>292</v>
      </c>
      <c r="H161" s="143" t="s">
        <v>292</v>
      </c>
      <c r="I161" s="143" t="s">
        <v>292</v>
      </c>
      <c r="J161" s="143" t="s">
        <v>292</v>
      </c>
      <c r="K161" s="143" t="s">
        <v>292</v>
      </c>
      <c r="L161" s="143" t="s">
        <v>292</v>
      </c>
      <c r="M161" s="143" t="s">
        <v>292</v>
      </c>
      <c r="N161" s="143" t="s">
        <v>292</v>
      </c>
      <c r="O161" s="143"/>
      <c r="P161" s="143"/>
      <c r="Q161" s="143" t="s">
        <v>280</v>
      </c>
      <c r="R161" s="143" t="s">
        <v>79</v>
      </c>
      <c r="S161" s="147"/>
      <c r="T161" s="143"/>
      <c r="U161" s="143"/>
      <c r="V161" s="143"/>
      <c r="W161" s="143"/>
      <c r="X161" s="143"/>
      <c r="Y161" s="143"/>
      <c r="Z161" s="143"/>
      <c r="AA161" s="143"/>
      <c r="AB161" s="143"/>
      <c r="AC161" s="143"/>
      <c r="AD161" s="153"/>
      <c r="AE161" s="153"/>
      <c r="AF161" s="143"/>
      <c r="AG161" s="155"/>
      <c r="AH161" s="150" t="s">
        <v>37</v>
      </c>
      <c r="AI161" s="151" t="s">
        <v>76</v>
      </c>
      <c r="AJ161" s="151" t="s">
        <v>70</v>
      </c>
      <c r="AK161" s="151" t="s">
        <v>70</v>
      </c>
      <c r="AL161" s="151" t="s">
        <v>118</v>
      </c>
      <c r="AM161" s="151" t="s">
        <v>70</v>
      </c>
      <c r="AN161" s="151" t="s">
        <v>70</v>
      </c>
      <c r="AO161" s="151" t="s">
        <v>70</v>
      </c>
      <c r="AP161" s="152"/>
      <c r="AQ161" s="153"/>
      <c r="AR161" s="153"/>
      <c r="AS161" s="153"/>
      <c r="AT161" s="153"/>
      <c r="AU161" s="154"/>
      <c r="AV161" s="153" t="s">
        <v>1028</v>
      </c>
      <c r="AW161" s="153" t="s">
        <v>106</v>
      </c>
      <c r="AX161" s="153" t="s">
        <v>106</v>
      </c>
      <c r="AY161" s="153" t="s">
        <v>106</v>
      </c>
      <c r="AZ161" s="153" t="s">
        <v>106</v>
      </c>
      <c r="BA161" s="154" t="s">
        <v>114</v>
      </c>
      <c r="BB161" s="152">
        <v>573297</v>
      </c>
      <c r="BC161" s="153">
        <v>573297</v>
      </c>
      <c r="BD161" s="153">
        <v>573297</v>
      </c>
      <c r="BE161" s="157">
        <v>573297</v>
      </c>
      <c r="BF161" s="157">
        <v>573297</v>
      </c>
      <c r="BG161" s="157"/>
      <c r="BH161" s="155"/>
      <c r="BI161" s="152">
        <v>474456</v>
      </c>
      <c r="BJ161" s="153">
        <v>466752</v>
      </c>
      <c r="BK161" s="153">
        <v>496343</v>
      </c>
      <c r="BL161" s="153">
        <v>518875</v>
      </c>
      <c r="BM161" s="153">
        <v>444449</v>
      </c>
      <c r="BN161" s="154">
        <f>SUMIF(BI161:BM161,"&gt;0",BI161:BM161)</f>
        <v>2400875</v>
      </c>
      <c r="BO161" s="156"/>
      <c r="BP161" s="148"/>
      <c r="BQ161" s="153"/>
      <c r="BR161" s="153"/>
      <c r="BS161" s="152"/>
      <c r="BT161" s="148"/>
      <c r="BU161" s="148"/>
      <c r="BV161" s="148"/>
      <c r="BW161" s="148"/>
      <c r="BX161" s="154">
        <f>SUM(BS161:BW161)</f>
        <v>0</v>
      </c>
      <c r="BY161" s="143"/>
      <c r="BZ161" s="143"/>
      <c r="CA161" s="143"/>
      <c r="CB161" s="143"/>
      <c r="CC161" s="143"/>
      <c r="CD161" s="259"/>
    </row>
    <row r="162" spans="1:82" ht="14.5">
      <c r="A162" s="143" t="s">
        <v>416</v>
      </c>
      <c r="B162" s="143"/>
      <c r="C162" s="144" t="s">
        <v>707</v>
      </c>
      <c r="D162" s="144" t="s">
        <v>1442</v>
      </c>
      <c r="E162" s="145" t="s">
        <v>708</v>
      </c>
      <c r="F162" s="143" t="str">
        <f>SUBSTITUTE(E162," ","")</f>
        <v>63052251000</v>
      </c>
      <c r="G162" s="143" t="s">
        <v>1443</v>
      </c>
      <c r="H162" s="143" t="s">
        <v>53</v>
      </c>
      <c r="I162" s="143">
        <v>4702</v>
      </c>
      <c r="J162" s="143">
        <v>-23.398845000000001</v>
      </c>
      <c r="K162" s="143">
        <v>148.94309799999999</v>
      </c>
      <c r="L162" s="143">
        <v>1989</v>
      </c>
      <c r="M162" s="143">
        <v>33</v>
      </c>
      <c r="N162" s="143">
        <v>2041</v>
      </c>
      <c r="O162" s="143"/>
      <c r="P162" s="143"/>
      <c r="Q162" s="143" t="s">
        <v>29</v>
      </c>
      <c r="R162" s="143" t="s">
        <v>29</v>
      </c>
      <c r="S162" s="147"/>
      <c r="T162" s="143"/>
      <c r="U162" s="143"/>
      <c r="V162" s="143"/>
      <c r="W162" s="143"/>
      <c r="X162" s="143"/>
      <c r="Y162" s="143"/>
      <c r="Z162" s="143"/>
      <c r="AA162" s="143"/>
      <c r="AB162" s="143"/>
      <c r="AC162" s="143"/>
      <c r="AD162" s="153"/>
      <c r="AE162" s="153"/>
      <c r="AF162" s="143"/>
      <c r="AG162" s="155"/>
      <c r="AH162" s="147" t="s">
        <v>26</v>
      </c>
      <c r="AI162" s="146" t="s">
        <v>389</v>
      </c>
      <c r="AJ162" s="146" t="s">
        <v>1444</v>
      </c>
      <c r="AK162" s="146" t="s">
        <v>21</v>
      </c>
      <c r="AL162" s="143" t="s">
        <v>43</v>
      </c>
      <c r="AM162" s="143"/>
      <c r="AN162" s="143"/>
      <c r="AO162" s="143"/>
      <c r="AP162" s="152"/>
      <c r="AQ162" s="153"/>
      <c r="AR162" s="153"/>
      <c r="AS162" s="153"/>
      <c r="AT162" s="153"/>
      <c r="AU162" s="154"/>
      <c r="AV162" s="153" t="s">
        <v>1028</v>
      </c>
      <c r="AW162" s="153" t="s">
        <v>106</v>
      </c>
      <c r="AX162" s="153" t="s">
        <v>106</v>
      </c>
      <c r="AY162" s="153" t="s">
        <v>106</v>
      </c>
      <c r="AZ162" s="153" t="s">
        <v>73</v>
      </c>
      <c r="BA162" s="154" t="s">
        <v>73</v>
      </c>
      <c r="BB162" s="152">
        <v>237262</v>
      </c>
      <c r="BC162" s="153">
        <v>237262</v>
      </c>
      <c r="BD162" s="153">
        <v>237262</v>
      </c>
      <c r="BE162" s="157">
        <v>237262</v>
      </c>
      <c r="BF162" s="157">
        <v>256527</v>
      </c>
      <c r="BG162" s="157"/>
      <c r="BH162" s="155"/>
      <c r="BI162" s="152">
        <v>242448</v>
      </c>
      <c r="BJ162" s="153">
        <v>255299</v>
      </c>
      <c r="BK162" s="153">
        <v>250023</v>
      </c>
      <c r="BL162" s="153">
        <v>246250</v>
      </c>
      <c r="BM162" s="153">
        <v>253099</v>
      </c>
      <c r="BN162" s="154">
        <f>SUMIF(BI162:BM162,"&gt;0",BI162:BM162)</f>
        <v>1247119</v>
      </c>
      <c r="BO162" s="156"/>
      <c r="BP162" s="148"/>
      <c r="BQ162" s="153"/>
      <c r="BR162" s="153"/>
      <c r="BS162" s="152">
        <v>5610171</v>
      </c>
      <c r="BT162" s="148">
        <v>4495773</v>
      </c>
      <c r="BU162" s="148">
        <v>5285186</v>
      </c>
      <c r="BV162" s="148">
        <v>4709559</v>
      </c>
      <c r="BW162" s="148" t="s">
        <v>1096</v>
      </c>
      <c r="BX162" s="154">
        <f>SUM(BS162:BW162)</f>
        <v>20100689</v>
      </c>
      <c r="BY162" s="143">
        <f>BI162/BS162</f>
        <v>4.3215795026568707E-2</v>
      </c>
      <c r="BZ162" s="143">
        <f>BJ162/BT162</f>
        <v>5.6786452518843809E-2</v>
      </c>
      <c r="CA162" s="143">
        <f>BK162/BU162</f>
        <v>4.7306376729220126E-2</v>
      </c>
      <c r="CB162" s="143">
        <f>BL162/BV162</f>
        <v>5.2287273606721987E-2</v>
      </c>
      <c r="CC162" s="143" t="e">
        <f>BM162/BW162</f>
        <v>#VALUE!</v>
      </c>
      <c r="CD162" s="143" t="e">
        <f>AVERAGE(BY162:CC162)</f>
        <v>#VALUE!</v>
      </c>
    </row>
    <row r="163" spans="1:82" ht="14.5">
      <c r="A163" s="143" t="s">
        <v>427</v>
      </c>
      <c r="B163" s="143" t="s">
        <v>1485</v>
      </c>
      <c r="C163" s="144" t="s">
        <v>717</v>
      </c>
      <c r="D163" s="144" t="s">
        <v>1486</v>
      </c>
      <c r="E163" s="145" t="s">
        <v>718</v>
      </c>
      <c r="F163" s="143" t="str">
        <f>SUBSTITUTE(E163," ","")</f>
        <v>87010221486</v>
      </c>
      <c r="G163" s="143" t="s">
        <v>1487</v>
      </c>
      <c r="H163" s="143" t="s">
        <v>31</v>
      </c>
      <c r="I163" s="143">
        <v>2330</v>
      </c>
      <c r="J163" s="143">
        <v>-32.235104</v>
      </c>
      <c r="K163" s="143">
        <v>151.03540899999999</v>
      </c>
      <c r="L163" s="143" t="s">
        <v>292</v>
      </c>
      <c r="M163" s="143" t="s">
        <v>292</v>
      </c>
      <c r="N163" s="143" t="s">
        <v>292</v>
      </c>
      <c r="O163" s="143"/>
      <c r="P163" s="143"/>
      <c r="Q163" s="143" t="s">
        <v>29</v>
      </c>
      <c r="R163" s="143" t="s">
        <v>29</v>
      </c>
      <c r="S163" s="147"/>
      <c r="T163" s="143"/>
      <c r="U163" s="143"/>
      <c r="V163" s="143"/>
      <c r="W163" s="143"/>
      <c r="X163" s="143"/>
      <c r="Y163" s="143"/>
      <c r="Z163" s="143"/>
      <c r="AA163" s="143"/>
      <c r="AB163" s="143"/>
      <c r="AC163" s="143"/>
      <c r="AD163" s="153"/>
      <c r="AE163" s="153"/>
      <c r="AF163" s="143"/>
      <c r="AG163" s="155"/>
      <c r="AH163" s="147" t="s">
        <v>26</v>
      </c>
      <c r="AI163" s="146" t="s">
        <v>69</v>
      </c>
      <c r="AJ163" s="146" t="s">
        <v>1488</v>
      </c>
      <c r="AK163" s="146" t="s">
        <v>21</v>
      </c>
      <c r="AL163" s="143" t="s">
        <v>43</v>
      </c>
      <c r="AM163" s="143" t="s">
        <v>77</v>
      </c>
      <c r="AN163" s="143">
        <v>5.5</v>
      </c>
      <c r="AO163" s="143"/>
      <c r="AP163" s="152"/>
      <c r="AQ163" s="153"/>
      <c r="AR163" s="153"/>
      <c r="AS163" s="153"/>
      <c r="AT163" s="153"/>
      <c r="AU163" s="154"/>
      <c r="AV163" s="153" t="s">
        <v>1028</v>
      </c>
      <c r="AW163" s="153" t="s">
        <v>18</v>
      </c>
      <c r="AX163" s="153" t="s">
        <v>18</v>
      </c>
      <c r="AY163" s="153" t="s">
        <v>18</v>
      </c>
      <c r="AZ163" s="153" t="s">
        <v>73</v>
      </c>
      <c r="BA163" s="154" t="s">
        <v>73</v>
      </c>
      <c r="BB163" s="152">
        <v>222168</v>
      </c>
      <c r="BC163" s="153">
        <v>371112</v>
      </c>
      <c r="BD163" s="153">
        <v>371112</v>
      </c>
      <c r="BE163" s="157">
        <v>371112</v>
      </c>
      <c r="BF163" s="157">
        <v>394117</v>
      </c>
      <c r="BG163" s="157"/>
      <c r="BH163" s="155"/>
      <c r="BI163" s="152">
        <v>210118</v>
      </c>
      <c r="BJ163" s="153">
        <v>278642</v>
      </c>
      <c r="BK163" s="153">
        <v>247922</v>
      </c>
      <c r="BL163" s="153">
        <v>300794</v>
      </c>
      <c r="BM163" s="153">
        <v>393671</v>
      </c>
      <c r="BN163" s="154">
        <f>SUMIF(BI163:BM163,"&gt;0",BI163:BM163)</f>
        <v>1431147</v>
      </c>
      <c r="BO163" s="156"/>
      <c r="BP163" s="148"/>
      <c r="BQ163" s="153"/>
      <c r="BR163" s="153"/>
      <c r="BS163" s="152">
        <v>10517068</v>
      </c>
      <c r="BT163" s="148">
        <v>11567648</v>
      </c>
      <c r="BU163" s="148">
        <v>10720365</v>
      </c>
      <c r="BV163" s="148">
        <v>8382135</v>
      </c>
      <c r="BW163" s="148" t="s">
        <v>1096</v>
      </c>
      <c r="BX163" s="154">
        <f>SUM(BS163:BW163)</f>
        <v>41187216</v>
      </c>
      <c r="BY163" s="143">
        <f>BI163/BS163</f>
        <v>1.9978762141691961E-2</v>
      </c>
      <c r="BZ163" s="143">
        <f>BJ163/BT163</f>
        <v>2.4088042789683781E-2</v>
      </c>
      <c r="CA163" s="143">
        <f>BK163/BU163</f>
        <v>2.3126264824005528E-2</v>
      </c>
      <c r="CB163" s="143">
        <f>BL163/BV163</f>
        <v>3.5885129504595187E-2</v>
      </c>
      <c r="CC163" s="143" t="e">
        <f>BM163/BW163</f>
        <v>#VALUE!</v>
      </c>
      <c r="CD163" s="143" t="e">
        <f>AVERAGE(BY163:CC163)</f>
        <v>#VALUE!</v>
      </c>
    </row>
    <row r="164" spans="1:82" ht="14.5">
      <c r="A164" s="143" t="s">
        <v>447</v>
      </c>
      <c r="B164" s="143"/>
      <c r="C164" s="144"/>
      <c r="D164" s="144" t="s">
        <v>1544</v>
      </c>
      <c r="E164" s="145" t="s">
        <v>738</v>
      </c>
      <c r="F164" s="143" t="str">
        <f>SUBSTITUTE(E164," ","")</f>
        <v>65000032333</v>
      </c>
      <c r="G164" s="143" t="s">
        <v>1545</v>
      </c>
      <c r="H164" s="143" t="s">
        <v>60</v>
      </c>
      <c r="I164" s="143">
        <v>5280</v>
      </c>
      <c r="J164" s="143">
        <v>-37.674540999999998</v>
      </c>
      <c r="K164" s="143">
        <v>140.43069600000001</v>
      </c>
      <c r="L164" s="143" t="s">
        <v>292</v>
      </c>
      <c r="M164" s="143" t="s">
        <v>292</v>
      </c>
      <c r="N164" s="143" t="s">
        <v>292</v>
      </c>
      <c r="O164" s="143"/>
      <c r="P164" s="143"/>
      <c r="Q164" s="143" t="s">
        <v>204</v>
      </c>
      <c r="R164" s="143" t="s">
        <v>72</v>
      </c>
      <c r="S164" s="147"/>
      <c r="T164" s="143"/>
      <c r="U164" s="143"/>
      <c r="V164" s="143"/>
      <c r="W164" s="143"/>
      <c r="X164" s="143"/>
      <c r="Y164" s="143"/>
      <c r="Z164" s="143"/>
      <c r="AA164" s="143"/>
      <c r="AB164" s="143"/>
      <c r="AC164" s="143"/>
      <c r="AD164" s="153"/>
      <c r="AE164" s="153"/>
      <c r="AF164" s="143"/>
      <c r="AG164" s="155"/>
      <c r="AH164" s="150" t="s">
        <v>37</v>
      </c>
      <c r="AI164" s="151" t="s">
        <v>76</v>
      </c>
      <c r="AJ164" s="151" t="s">
        <v>70</v>
      </c>
      <c r="AK164" s="151" t="s">
        <v>70</v>
      </c>
      <c r="AL164" s="151" t="s">
        <v>118</v>
      </c>
      <c r="AM164" s="151" t="s">
        <v>70</v>
      </c>
      <c r="AN164" s="151" t="s">
        <v>70</v>
      </c>
      <c r="AO164" s="151" t="s">
        <v>70</v>
      </c>
      <c r="AP164" s="152"/>
      <c r="AQ164" s="153"/>
      <c r="AR164" s="153"/>
      <c r="AS164" s="153"/>
      <c r="AT164" s="153"/>
      <c r="AU164" s="154"/>
      <c r="AV164" s="153" t="s">
        <v>1028</v>
      </c>
      <c r="AW164" s="153" t="s">
        <v>106</v>
      </c>
      <c r="AX164" s="153" t="s">
        <v>106</v>
      </c>
      <c r="AY164" s="153" t="s">
        <v>106</v>
      </c>
      <c r="AZ164" s="153" t="s">
        <v>106</v>
      </c>
      <c r="BA164" s="154" t="s">
        <v>73</v>
      </c>
      <c r="BB164" s="152">
        <v>118369</v>
      </c>
      <c r="BC164" s="153">
        <v>118369</v>
      </c>
      <c r="BD164" s="153">
        <v>118369</v>
      </c>
      <c r="BE164" s="157">
        <v>118369</v>
      </c>
      <c r="BF164" s="157">
        <v>118369</v>
      </c>
      <c r="BG164" s="157"/>
      <c r="BH164" s="155"/>
      <c r="BI164" s="152">
        <v>103779</v>
      </c>
      <c r="BJ164" s="153">
        <v>110632</v>
      </c>
      <c r="BK164" s="153">
        <v>109731</v>
      </c>
      <c r="BL164" s="153">
        <v>110004</v>
      </c>
      <c r="BM164" s="153" t="s">
        <v>920</v>
      </c>
      <c r="BN164" s="154">
        <f>SUMIF(BI164:BM164,"&gt;0",BI164:BM164)</f>
        <v>434146</v>
      </c>
      <c r="BO164" s="156"/>
      <c r="BP164" s="148"/>
      <c r="BQ164" s="153"/>
      <c r="BR164" s="153"/>
      <c r="BS164" s="152"/>
      <c r="BT164" s="148"/>
      <c r="BU164" s="148"/>
      <c r="BV164" s="148"/>
      <c r="BW164" s="148"/>
      <c r="BX164" s="154">
        <f>SUM(BS164:BW164)</f>
        <v>0</v>
      </c>
      <c r="BY164" s="143"/>
      <c r="BZ164" s="143"/>
      <c r="CA164" s="143"/>
      <c r="CB164" s="143"/>
      <c r="CC164" s="143"/>
      <c r="CD164" s="143"/>
    </row>
    <row r="165" spans="1:82" ht="14.5">
      <c r="A165" s="143" t="s">
        <v>404</v>
      </c>
      <c r="B165" s="143" t="s">
        <v>1386</v>
      </c>
      <c r="C165" s="144" t="s">
        <v>1387</v>
      </c>
      <c r="D165" s="144" t="s">
        <v>1388</v>
      </c>
      <c r="E165" s="145" t="s">
        <v>1389</v>
      </c>
      <c r="F165" s="143" t="str">
        <f>SUBSTITUTE(E165," ","")</f>
        <v>16008667285</v>
      </c>
      <c r="G165" s="143" t="s">
        <v>1390</v>
      </c>
      <c r="H165" s="143" t="s">
        <v>81</v>
      </c>
      <c r="I165" s="143">
        <v>6225</v>
      </c>
      <c r="J165" s="143">
        <v>-33.373975000000002</v>
      </c>
      <c r="K165" s="143">
        <v>116.24748</v>
      </c>
      <c r="L165" s="143" t="s">
        <v>292</v>
      </c>
      <c r="M165" s="143" t="s">
        <v>292</v>
      </c>
      <c r="N165" s="143" t="s">
        <v>292</v>
      </c>
      <c r="O165" s="143"/>
      <c r="P165" s="143"/>
      <c r="Q165" s="143" t="s">
        <v>29</v>
      </c>
      <c r="R165" s="143" t="s">
        <v>29</v>
      </c>
      <c r="S165" s="147"/>
      <c r="T165" s="143"/>
      <c r="U165" s="143"/>
      <c r="V165" s="143"/>
      <c r="W165" s="143"/>
      <c r="X165" s="143"/>
      <c r="Y165" s="143"/>
      <c r="Z165" s="143"/>
      <c r="AA165" s="143"/>
      <c r="AB165" s="143"/>
      <c r="AC165" s="143"/>
      <c r="AD165" s="153"/>
      <c r="AE165" s="153"/>
      <c r="AF165" s="143"/>
      <c r="AG165" s="155"/>
      <c r="AH165" s="147" t="s">
        <v>26</v>
      </c>
      <c r="AI165" s="146" t="s">
        <v>389</v>
      </c>
      <c r="AJ165" s="146" t="s">
        <v>1391</v>
      </c>
      <c r="AK165" s="146" t="s">
        <v>21</v>
      </c>
      <c r="AL165" s="146" t="s">
        <v>75</v>
      </c>
      <c r="AM165" s="143"/>
      <c r="AN165" s="143"/>
      <c r="AO165" s="143"/>
      <c r="AP165" s="152"/>
      <c r="AQ165" s="153"/>
      <c r="AR165" s="153"/>
      <c r="AS165" s="153"/>
      <c r="AT165" s="153"/>
      <c r="AU165" s="154"/>
      <c r="AV165" s="153" t="s">
        <v>106</v>
      </c>
      <c r="AW165" s="153" t="s">
        <v>106</v>
      </c>
      <c r="AX165" s="153" t="s">
        <v>106</v>
      </c>
      <c r="AY165" s="153" t="s">
        <v>106</v>
      </c>
      <c r="AZ165" s="153" t="s">
        <v>106</v>
      </c>
      <c r="BA165" s="154" t="s">
        <v>114</v>
      </c>
      <c r="BB165" s="152">
        <v>146180</v>
      </c>
      <c r="BC165" s="153">
        <v>146180</v>
      </c>
      <c r="BD165" s="153">
        <v>146180</v>
      </c>
      <c r="BE165" s="153">
        <v>146180</v>
      </c>
      <c r="BF165" s="153">
        <v>146180</v>
      </c>
      <c r="BG165" s="157"/>
      <c r="BH165" s="155"/>
      <c r="BI165" s="152" t="s">
        <v>920</v>
      </c>
      <c r="BJ165" s="153" t="s">
        <v>920</v>
      </c>
      <c r="BK165" s="153" t="s">
        <v>920</v>
      </c>
      <c r="BL165" s="153" t="s">
        <v>920</v>
      </c>
      <c r="BM165" s="153" t="s">
        <v>920</v>
      </c>
      <c r="BN165" s="154">
        <f>SUMIF(BI165:BM165,"&gt;0",BI165:BM165)</f>
        <v>0</v>
      </c>
      <c r="BO165" s="156"/>
      <c r="BP165" s="148"/>
      <c r="BQ165" s="153"/>
      <c r="BR165" s="153"/>
      <c r="BS165" s="152" t="s">
        <v>1096</v>
      </c>
      <c r="BT165" s="148" t="s">
        <v>1096</v>
      </c>
      <c r="BU165" s="148" t="s">
        <v>1096</v>
      </c>
      <c r="BV165" s="148" t="s">
        <v>1096</v>
      </c>
      <c r="BW165" s="148" t="s">
        <v>1096</v>
      </c>
      <c r="BX165" s="154">
        <f>SUM(BS165:BW165)</f>
        <v>0</v>
      </c>
      <c r="BY165" s="143" t="e">
        <f>BI165/BS165</f>
        <v>#VALUE!</v>
      </c>
      <c r="BZ165" s="143" t="e">
        <f>BJ165/BT165</f>
        <v>#VALUE!</v>
      </c>
      <c r="CA165" s="143" t="e">
        <f>BK165/BU165</f>
        <v>#VALUE!</v>
      </c>
      <c r="CB165" s="143" t="e">
        <f>BL165/BV165</f>
        <v>#VALUE!</v>
      </c>
      <c r="CC165" s="143" t="e">
        <f>BM165/BW165</f>
        <v>#VALUE!</v>
      </c>
      <c r="CD165" s="143" t="e">
        <f>AVERAGE(BY165:CC165)</f>
        <v>#VALUE!</v>
      </c>
    </row>
    <row r="166" spans="1:82" ht="14.5">
      <c r="A166" s="143" t="s">
        <v>369</v>
      </c>
      <c r="B166" s="143" t="s">
        <v>1263</v>
      </c>
      <c r="C166" s="144" t="s">
        <v>1264</v>
      </c>
      <c r="D166" s="144" t="s">
        <v>1265</v>
      </c>
      <c r="E166" s="145" t="s">
        <v>1266</v>
      </c>
      <c r="F166" s="143" t="str">
        <f>SUBSTITUTE(E166," ","")</f>
        <v>67002028257</v>
      </c>
      <c r="G166" s="143" t="s">
        <v>1118</v>
      </c>
      <c r="H166" s="143" t="s">
        <v>31</v>
      </c>
      <c r="I166" s="143">
        <v>2333</v>
      </c>
      <c r="J166" s="143">
        <v>-32.354472199999996</v>
      </c>
      <c r="K166" s="143">
        <v>150.920556</v>
      </c>
      <c r="L166" s="143" t="s">
        <v>292</v>
      </c>
      <c r="M166" s="143" t="s">
        <v>292</v>
      </c>
      <c r="N166" s="143" t="s">
        <v>292</v>
      </c>
      <c r="O166" s="143" t="s">
        <v>48</v>
      </c>
      <c r="P166" s="143" t="s">
        <v>1267</v>
      </c>
      <c r="Q166" s="143" t="s">
        <v>29</v>
      </c>
      <c r="R166" s="143" t="s">
        <v>29</v>
      </c>
      <c r="S166" s="147"/>
      <c r="T166" s="143"/>
      <c r="U166" s="143"/>
      <c r="V166" s="143"/>
      <c r="W166" s="143"/>
      <c r="X166" s="143"/>
      <c r="Y166" s="143"/>
      <c r="Z166" s="143"/>
      <c r="AA166" s="143"/>
      <c r="AB166" s="143"/>
      <c r="AC166" s="143"/>
      <c r="AD166" s="153"/>
      <c r="AE166" s="153"/>
      <c r="AF166" s="143"/>
      <c r="AG166" s="155"/>
      <c r="AH166" s="147" t="s">
        <v>26</v>
      </c>
      <c r="AI166" s="146" t="s">
        <v>36</v>
      </c>
      <c r="AJ166" s="146" t="s">
        <v>1111</v>
      </c>
      <c r="AK166" s="146" t="s">
        <v>21</v>
      </c>
      <c r="AL166" s="146" t="s">
        <v>134</v>
      </c>
      <c r="AM166" s="143"/>
      <c r="AN166" s="143"/>
      <c r="AO166" s="143"/>
      <c r="AP166" s="152"/>
      <c r="AQ166" s="153"/>
      <c r="AR166" s="153"/>
      <c r="AS166" s="153"/>
      <c r="AT166" s="153"/>
      <c r="AU166" s="154"/>
      <c r="AV166" s="153" t="s">
        <v>106</v>
      </c>
      <c r="AW166" s="153" t="s">
        <v>106</v>
      </c>
      <c r="AX166" s="153" t="s">
        <v>106</v>
      </c>
      <c r="AY166" s="153" t="s">
        <v>106</v>
      </c>
      <c r="AZ166" s="153" t="s">
        <v>106</v>
      </c>
      <c r="BA166" s="154" t="s">
        <v>114</v>
      </c>
      <c r="BB166" s="152">
        <v>374571</v>
      </c>
      <c r="BC166" s="153">
        <v>374571</v>
      </c>
      <c r="BD166" s="153">
        <v>374571</v>
      </c>
      <c r="BE166" s="153">
        <v>374571</v>
      </c>
      <c r="BF166" s="153">
        <v>374571</v>
      </c>
      <c r="BG166" s="157"/>
      <c r="BH166" s="155"/>
      <c r="BI166" s="158">
        <v>11329</v>
      </c>
      <c r="BJ166" s="165">
        <v>602</v>
      </c>
      <c r="BK166" s="165">
        <v>4576</v>
      </c>
      <c r="BL166" s="165">
        <v>2012</v>
      </c>
      <c r="BM166" s="165">
        <v>48</v>
      </c>
      <c r="BN166" s="154">
        <f>SUMIF(BI166:BM166,"&gt;0",BI166:BM166)</f>
        <v>18567</v>
      </c>
      <c r="BO166" s="156"/>
      <c r="BP166" s="148"/>
      <c r="BQ166" s="153"/>
      <c r="BR166" s="153"/>
      <c r="BS166" s="152" t="s">
        <v>1185</v>
      </c>
      <c r="BT166" s="148" t="s">
        <v>1185</v>
      </c>
      <c r="BU166" s="148" t="s">
        <v>1185</v>
      </c>
      <c r="BV166" s="148" t="s">
        <v>1185</v>
      </c>
      <c r="BW166" s="148" t="s">
        <v>1185</v>
      </c>
      <c r="BX166" s="154">
        <f>SUM(BS166:BW166)</f>
        <v>0</v>
      </c>
      <c r="BY166" s="143" t="e">
        <f>BI166/BS166</f>
        <v>#VALUE!</v>
      </c>
      <c r="BZ166" s="143" t="e">
        <f>BJ166/BT166</f>
        <v>#VALUE!</v>
      </c>
      <c r="CA166" s="143" t="e">
        <f>BK166/BU166</f>
        <v>#VALUE!</v>
      </c>
      <c r="CB166" s="143" t="e">
        <f>BL166/BV166</f>
        <v>#VALUE!</v>
      </c>
      <c r="CC166" s="143" t="e">
        <f>BM166/BW166</f>
        <v>#VALUE!</v>
      </c>
      <c r="CD166" s="259" t="e">
        <f>AVERAGE(BY166:CC166)</f>
        <v>#VALUE!</v>
      </c>
    </row>
    <row r="167" spans="1:82" ht="14.5">
      <c r="A167" s="143" t="s">
        <v>484</v>
      </c>
      <c r="B167" s="143" t="s">
        <v>1669</v>
      </c>
      <c r="C167" s="144" t="s">
        <v>770</v>
      </c>
      <c r="D167" s="144" t="s">
        <v>1670</v>
      </c>
      <c r="E167" s="145" t="s">
        <v>771</v>
      </c>
      <c r="F167" s="143" t="str">
        <f>SUBSTITUTE(E167," ","")</f>
        <v>94000045045</v>
      </c>
      <c r="G167" s="143" t="s">
        <v>1671</v>
      </c>
      <c r="H167" s="143" t="s">
        <v>31</v>
      </c>
      <c r="I167" s="143">
        <v>2541</v>
      </c>
      <c r="J167" s="143">
        <v>-34.852904000000002</v>
      </c>
      <c r="K167" s="143">
        <v>150.619576</v>
      </c>
      <c r="L167" s="143">
        <v>1952</v>
      </c>
      <c r="M167" s="143">
        <v>70</v>
      </c>
      <c r="N167" s="143">
        <v>0</v>
      </c>
      <c r="O167" s="143"/>
      <c r="P167" s="143"/>
      <c r="Q167" s="143" t="s">
        <v>184</v>
      </c>
      <c r="R167" s="143" t="s">
        <v>72</v>
      </c>
      <c r="S167" s="147"/>
      <c r="T167" s="143"/>
      <c r="U167" s="143"/>
      <c r="V167" s="143"/>
      <c r="W167" s="143"/>
      <c r="X167" s="143"/>
      <c r="Y167" s="143"/>
      <c r="Z167" s="143"/>
      <c r="AA167" s="143"/>
      <c r="AB167" s="143"/>
      <c r="AC167" s="143"/>
      <c r="AD167" s="153"/>
      <c r="AE167" s="153"/>
      <c r="AF167" s="143"/>
      <c r="AG167" s="155"/>
      <c r="AH167" s="150" t="s">
        <v>37</v>
      </c>
      <c r="AI167" s="151" t="s">
        <v>76</v>
      </c>
      <c r="AJ167" s="151" t="s">
        <v>70</v>
      </c>
      <c r="AK167" s="151" t="s">
        <v>70</v>
      </c>
      <c r="AL167" s="151" t="s">
        <v>118</v>
      </c>
      <c r="AM167" s="151" t="s">
        <v>70</v>
      </c>
      <c r="AN167" s="151" t="s">
        <v>70</v>
      </c>
      <c r="AO167" s="151" t="s">
        <v>70</v>
      </c>
      <c r="AP167" s="152"/>
      <c r="AQ167" s="153"/>
      <c r="AR167" s="153"/>
      <c r="AS167" s="153"/>
      <c r="AT167" s="153"/>
      <c r="AU167" s="154"/>
      <c r="AV167" s="153" t="s">
        <v>1028</v>
      </c>
      <c r="AW167" s="153" t="s">
        <v>106</v>
      </c>
      <c r="AX167" s="153" t="s">
        <v>106</v>
      </c>
      <c r="AY167" s="153" t="s">
        <v>73</v>
      </c>
      <c r="AZ167" s="153" t="s">
        <v>73</v>
      </c>
      <c r="BA167" s="154" t="s">
        <v>73</v>
      </c>
      <c r="BB167" s="152">
        <v>338959</v>
      </c>
      <c r="BC167" s="153">
        <v>338959</v>
      </c>
      <c r="BD167" s="153">
        <v>338959</v>
      </c>
      <c r="BE167" s="157">
        <v>477214</v>
      </c>
      <c r="BF167" s="157">
        <v>477214</v>
      </c>
      <c r="BG167" s="157"/>
      <c r="BH167" s="155"/>
      <c r="BI167" s="152">
        <v>249843</v>
      </c>
      <c r="BJ167" s="153">
        <v>274498</v>
      </c>
      <c r="BK167" s="153">
        <v>299291</v>
      </c>
      <c r="BL167" s="153">
        <v>351980</v>
      </c>
      <c r="BM167" s="153">
        <v>361874</v>
      </c>
      <c r="BN167" s="154">
        <f>SUMIF(BI167:BM167,"&gt;0",BI167:BM167)</f>
        <v>1537486</v>
      </c>
      <c r="BO167" s="156"/>
      <c r="BP167" s="148"/>
      <c r="BQ167" s="153"/>
      <c r="BR167" s="153"/>
      <c r="BS167" s="152"/>
      <c r="BT167" s="148"/>
      <c r="BU167" s="148"/>
      <c r="BV167" s="148"/>
      <c r="BW167" s="148"/>
      <c r="BX167" s="154">
        <f>SUM(BS167:BW167)</f>
        <v>0</v>
      </c>
      <c r="BY167" s="143"/>
      <c r="BZ167" s="143"/>
      <c r="CA167" s="143"/>
      <c r="CB167" s="143"/>
      <c r="CC167" s="143"/>
      <c r="CD167" s="259"/>
    </row>
    <row r="168" spans="1:82" ht="14.5">
      <c r="A168" s="143" t="s">
        <v>422</v>
      </c>
      <c r="B168" s="143" t="s">
        <v>713</v>
      </c>
      <c r="C168" s="144" t="s">
        <v>714</v>
      </c>
      <c r="D168" s="144" t="s">
        <v>1463</v>
      </c>
      <c r="E168" s="145" t="s">
        <v>1464</v>
      </c>
      <c r="F168" s="143" t="str">
        <f>SUBSTITUTE(E168," ","")</f>
        <v>69112437331</v>
      </c>
      <c r="G168" s="143" t="s">
        <v>1465</v>
      </c>
      <c r="H168" s="143" t="s">
        <v>81</v>
      </c>
      <c r="I168" s="143">
        <v>6427</v>
      </c>
      <c r="J168" s="143">
        <v>-30.815000000000001</v>
      </c>
      <c r="K168" s="143">
        <v>119.531111</v>
      </c>
      <c r="L168" s="143">
        <v>1993</v>
      </c>
      <c r="M168" s="143">
        <v>29</v>
      </c>
      <c r="N168" s="143">
        <v>2025</v>
      </c>
      <c r="O168" s="143"/>
      <c r="P168" s="143"/>
      <c r="Q168" s="143" t="s">
        <v>125</v>
      </c>
      <c r="R168" s="143" t="s">
        <v>65</v>
      </c>
      <c r="S168" s="147"/>
      <c r="T168" s="143"/>
      <c r="U168" s="143"/>
      <c r="V168" s="143"/>
      <c r="W168" s="143"/>
      <c r="X168" s="143"/>
      <c r="Y168" s="143"/>
      <c r="Z168" s="143"/>
      <c r="AA168" s="143"/>
      <c r="AB168" s="143"/>
      <c r="AC168" s="143"/>
      <c r="AD168" s="153"/>
      <c r="AE168" s="153"/>
      <c r="AF168" s="143"/>
      <c r="AG168" s="155"/>
      <c r="AH168" s="150" t="s">
        <v>37</v>
      </c>
      <c r="AI168" s="151" t="s">
        <v>76</v>
      </c>
      <c r="AJ168" s="151" t="s">
        <v>70</v>
      </c>
      <c r="AK168" s="151" t="s">
        <v>70</v>
      </c>
      <c r="AL168" s="151" t="s">
        <v>118</v>
      </c>
      <c r="AM168" s="151" t="s">
        <v>70</v>
      </c>
      <c r="AN168" s="151" t="s">
        <v>70</v>
      </c>
      <c r="AO168" s="151" t="s">
        <v>70</v>
      </c>
      <c r="AP168" s="152"/>
      <c r="AQ168" s="153"/>
      <c r="AR168" s="153"/>
      <c r="AS168" s="153"/>
      <c r="AT168" s="153"/>
      <c r="AU168" s="154"/>
      <c r="AV168" s="153" t="s">
        <v>1028</v>
      </c>
      <c r="AW168" s="153" t="s">
        <v>1028</v>
      </c>
      <c r="AX168" s="153" t="s">
        <v>1028</v>
      </c>
      <c r="AY168" s="153" t="s">
        <v>1028</v>
      </c>
      <c r="AZ168" s="153" t="s">
        <v>73</v>
      </c>
      <c r="BA168" s="154" t="s">
        <v>73</v>
      </c>
      <c r="BB168" s="152">
        <v>155569</v>
      </c>
      <c r="BC168" s="153">
        <v>155569</v>
      </c>
      <c r="BD168" s="153">
        <v>155569</v>
      </c>
      <c r="BE168" s="153">
        <v>155569</v>
      </c>
      <c r="BF168" s="153">
        <v>176116</v>
      </c>
      <c r="BG168" s="157"/>
      <c r="BH168" s="155" t="s">
        <v>1466</v>
      </c>
      <c r="BI168" s="152">
        <v>111149</v>
      </c>
      <c r="BJ168" s="153" t="s">
        <v>920</v>
      </c>
      <c r="BK168" s="153" t="s">
        <v>920</v>
      </c>
      <c r="BL168" s="153" t="s">
        <v>920</v>
      </c>
      <c r="BM168" s="153">
        <v>137803</v>
      </c>
      <c r="BN168" s="154">
        <f>SUMIF(BI168:BM168,"&gt;0",BI168:BM168)</f>
        <v>248952</v>
      </c>
      <c r="BO168" s="156"/>
      <c r="BP168" s="148"/>
      <c r="BQ168" s="153"/>
      <c r="BR168" s="153"/>
      <c r="BS168" s="152"/>
      <c r="BT168" s="148"/>
      <c r="BU168" s="148"/>
      <c r="BV168" s="148"/>
      <c r="BW168" s="148"/>
      <c r="BX168" s="154">
        <f>SUM(BS168:BW168)</f>
        <v>0</v>
      </c>
      <c r="BY168" s="143"/>
      <c r="BZ168" s="143"/>
      <c r="CA168" s="143"/>
      <c r="CB168" s="143"/>
      <c r="CC168" s="143"/>
      <c r="CD168" s="143"/>
    </row>
    <row r="169" spans="1:82" ht="14.5">
      <c r="A169" s="143" t="s">
        <v>317</v>
      </c>
      <c r="B169" s="143" t="s">
        <v>1108</v>
      </c>
      <c r="C169" s="144" t="s">
        <v>636</v>
      </c>
      <c r="D169" s="144" t="s">
        <v>1109</v>
      </c>
      <c r="E169" s="145" t="s">
        <v>637</v>
      </c>
      <c r="F169" s="143" t="str">
        <f>SUBSTITUTE(E169," ","")</f>
        <v>48055534391</v>
      </c>
      <c r="G169" s="143" t="s">
        <v>292</v>
      </c>
      <c r="H169" s="143" t="s">
        <v>292</v>
      </c>
      <c r="I169" s="143" t="s">
        <v>292</v>
      </c>
      <c r="J169" s="143" t="s">
        <v>292</v>
      </c>
      <c r="K169" s="143" t="s">
        <v>292</v>
      </c>
      <c r="L169" s="143" t="s">
        <v>292</v>
      </c>
      <c r="M169" s="143" t="s">
        <v>292</v>
      </c>
      <c r="N169" s="143" t="s">
        <v>292</v>
      </c>
      <c r="O169" s="143" t="s">
        <v>389</v>
      </c>
      <c r="P169" s="143" t="s">
        <v>1110</v>
      </c>
      <c r="Q169" s="143" t="s">
        <v>29</v>
      </c>
      <c r="R169" s="143" t="s">
        <v>29</v>
      </c>
      <c r="S169" s="147"/>
      <c r="T169" s="143"/>
      <c r="U169" s="143"/>
      <c r="V169" s="143"/>
      <c r="W169" s="143"/>
      <c r="X169" s="143"/>
      <c r="Y169" s="143"/>
      <c r="Z169" s="143"/>
      <c r="AA169" s="143"/>
      <c r="AB169" s="143"/>
      <c r="AC169" s="143"/>
      <c r="AD169" s="153"/>
      <c r="AE169" s="153"/>
      <c r="AF169" s="143"/>
      <c r="AG169" s="155"/>
      <c r="AH169" s="147" t="s">
        <v>26</v>
      </c>
      <c r="AI169" s="146" t="s">
        <v>36</v>
      </c>
      <c r="AJ169" s="146" t="s">
        <v>1111</v>
      </c>
      <c r="AK169" s="146" t="s">
        <v>33</v>
      </c>
      <c r="AL169" s="143" t="s">
        <v>134</v>
      </c>
      <c r="AM169" s="143"/>
      <c r="AN169" s="143"/>
      <c r="AO169" s="143"/>
      <c r="AP169" s="152"/>
      <c r="AQ169" s="153"/>
      <c r="AR169" s="153"/>
      <c r="AS169" s="153"/>
      <c r="AT169" s="153"/>
      <c r="AU169" s="154"/>
      <c r="AV169" s="153" t="s">
        <v>41</v>
      </c>
      <c r="AW169" s="153" t="s">
        <v>41</v>
      </c>
      <c r="AX169" s="153" t="s">
        <v>41</v>
      </c>
      <c r="AY169" s="153" t="s">
        <v>41</v>
      </c>
      <c r="AZ169" s="153" t="s">
        <v>117</v>
      </c>
      <c r="BA169" s="154" t="s">
        <v>117</v>
      </c>
      <c r="BB169" s="152">
        <v>3314944</v>
      </c>
      <c r="BC169" s="153">
        <v>3314944</v>
      </c>
      <c r="BD169" s="153">
        <v>3314944</v>
      </c>
      <c r="BE169" s="163">
        <v>3314944</v>
      </c>
      <c r="BF169" s="163" t="s">
        <v>117</v>
      </c>
      <c r="BG169" s="157" t="s">
        <v>117</v>
      </c>
      <c r="BH169" s="164" t="s">
        <v>1112</v>
      </c>
      <c r="BI169" s="152">
        <v>2677829</v>
      </c>
      <c r="BJ169" s="153">
        <v>1503072</v>
      </c>
      <c r="BK169" s="153">
        <v>335494</v>
      </c>
      <c r="BL169" s="153" t="s">
        <v>1113</v>
      </c>
      <c r="BM169" s="153" t="s">
        <v>1113</v>
      </c>
      <c r="BN169" s="154">
        <f>SUMIF(BI169:BM169,"&gt;0",BI169:BM169)</f>
        <v>4516395</v>
      </c>
      <c r="BO169" s="156">
        <v>1822275.62</v>
      </c>
      <c r="BP169" s="148">
        <v>1822275.62</v>
      </c>
      <c r="BQ169" s="153">
        <v>1822275.62</v>
      </c>
      <c r="BR169" s="153">
        <v>1822275.62</v>
      </c>
      <c r="BS169" s="152">
        <v>6145750</v>
      </c>
      <c r="BT169" s="148">
        <v>1281682</v>
      </c>
      <c r="BU169" s="148" t="s">
        <v>1114</v>
      </c>
      <c r="BV169" s="148" t="s">
        <v>1114</v>
      </c>
      <c r="BW169" s="148" t="s">
        <v>1114</v>
      </c>
      <c r="BX169" s="154">
        <f>SUM(BS169:BW169)</f>
        <v>7427432</v>
      </c>
      <c r="BY169" s="143">
        <f>BI169/BS169</f>
        <v>0.43572045722653868</v>
      </c>
      <c r="BZ169" s="143">
        <f>BJ169/BT169</f>
        <v>1.1727339542881932</v>
      </c>
      <c r="CA169" s="143" t="e">
        <f>BK169/BU169</f>
        <v>#VALUE!</v>
      </c>
      <c r="CB169" s="143" t="e">
        <f>BL169/BV169</f>
        <v>#VALUE!</v>
      </c>
      <c r="CC169" s="143" t="e">
        <f>BM169/BW169</f>
        <v>#VALUE!</v>
      </c>
      <c r="CD169" s="259" t="e">
        <f>AVERAGE(BY169:CC169)</f>
        <v>#VALUE!</v>
      </c>
    </row>
    <row r="170" spans="1:82" ht="14.5">
      <c r="A170" s="143" t="s">
        <v>328</v>
      </c>
      <c r="B170" s="143" t="s">
        <v>1147</v>
      </c>
      <c r="C170" s="144" t="s">
        <v>1151</v>
      </c>
      <c r="D170" s="144" t="s">
        <v>1109</v>
      </c>
      <c r="E170" s="145" t="s">
        <v>637</v>
      </c>
      <c r="F170" s="143" t="str">
        <f>SUBSTITUTE(E170," ","")</f>
        <v>48055534391</v>
      </c>
      <c r="G170" s="143" t="s">
        <v>1149</v>
      </c>
      <c r="H170" s="143" t="s">
        <v>31</v>
      </c>
      <c r="I170" s="143">
        <v>2330</v>
      </c>
      <c r="J170" s="143">
        <v>-32.676997</v>
      </c>
      <c r="K170" s="143">
        <v>151.09088399999999</v>
      </c>
      <c r="L170" s="143" t="s">
        <v>292</v>
      </c>
      <c r="M170" s="143" t="s">
        <v>292</v>
      </c>
      <c r="N170" s="143" t="s">
        <v>292</v>
      </c>
      <c r="O170" s="143"/>
      <c r="P170" s="143"/>
      <c r="Q170" s="143" t="s">
        <v>29</v>
      </c>
      <c r="R170" s="143" t="s">
        <v>29</v>
      </c>
      <c r="S170" s="147"/>
      <c r="T170" s="143"/>
      <c r="U170" s="143"/>
      <c r="V170" s="143"/>
      <c r="W170" s="143"/>
      <c r="X170" s="143"/>
      <c r="Y170" s="143"/>
      <c r="Z170" s="143"/>
      <c r="AA170" s="143"/>
      <c r="AB170" s="143"/>
      <c r="AC170" s="143"/>
      <c r="AD170" s="153"/>
      <c r="AE170" s="153"/>
      <c r="AF170" s="143"/>
      <c r="AG170" s="155"/>
      <c r="AH170" s="147" t="s">
        <v>26</v>
      </c>
      <c r="AI170" s="146" t="s">
        <v>69</v>
      </c>
      <c r="AJ170" s="146" t="s">
        <v>1133</v>
      </c>
      <c r="AK170" s="146" t="s">
        <v>21</v>
      </c>
      <c r="AL170" s="146" t="s">
        <v>134</v>
      </c>
      <c r="AM170" s="143"/>
      <c r="AN170" s="143"/>
      <c r="AO170" s="143"/>
      <c r="AP170" s="152"/>
      <c r="AQ170" s="153"/>
      <c r="AR170" s="153"/>
      <c r="AS170" s="153"/>
      <c r="AT170" s="153"/>
      <c r="AU170" s="154"/>
      <c r="AV170" s="153" t="s">
        <v>1028</v>
      </c>
      <c r="AW170" s="153" t="s">
        <v>106</v>
      </c>
      <c r="AX170" s="153" t="s">
        <v>106</v>
      </c>
      <c r="AY170" s="153" t="s">
        <v>117</v>
      </c>
      <c r="AZ170" s="153" t="s">
        <v>117</v>
      </c>
      <c r="BA170" s="154" t="s">
        <v>117</v>
      </c>
      <c r="BB170" s="152">
        <v>673617</v>
      </c>
      <c r="BC170" s="153">
        <v>673617</v>
      </c>
      <c r="BD170" s="153">
        <v>673617</v>
      </c>
      <c r="BE170" s="163" t="s">
        <v>117</v>
      </c>
      <c r="BF170" s="157" t="s">
        <v>117</v>
      </c>
      <c r="BG170" s="157" t="s">
        <v>117</v>
      </c>
      <c r="BH170" s="155" t="s">
        <v>1113</v>
      </c>
      <c r="BI170" s="152">
        <v>441453</v>
      </c>
      <c r="BJ170" s="153">
        <v>537321</v>
      </c>
      <c r="BK170" s="153">
        <v>650813</v>
      </c>
      <c r="BL170" s="153" t="s">
        <v>1113</v>
      </c>
      <c r="BM170" s="153" t="s">
        <v>1113</v>
      </c>
      <c r="BN170" s="154">
        <f>SUMIF(BI170:BM170,"&gt;0",BI170:BM170)</f>
        <v>1629587</v>
      </c>
      <c r="BO170" s="156">
        <v>871000</v>
      </c>
      <c r="BP170" s="148">
        <v>871000</v>
      </c>
      <c r="BQ170" s="153">
        <v>871000</v>
      </c>
      <c r="BR170" s="153">
        <v>871000</v>
      </c>
      <c r="BS170" s="152">
        <v>8807000</v>
      </c>
      <c r="BT170" s="148">
        <v>12092025</v>
      </c>
      <c r="BU170" s="148">
        <v>12200000</v>
      </c>
      <c r="BV170" s="148">
        <v>10064175</v>
      </c>
      <c r="BW170" s="153" t="s">
        <v>1114</v>
      </c>
      <c r="BX170" s="154">
        <f>SUM(BS170:BW170)</f>
        <v>43163200</v>
      </c>
      <c r="BY170" s="143">
        <f>BI170/BS170</f>
        <v>5.0125241285341203E-2</v>
      </c>
      <c r="BZ170" s="143">
        <f>BJ170/BT170</f>
        <v>4.4435981566362956E-2</v>
      </c>
      <c r="CA170" s="143">
        <f>BK170/BU170</f>
        <v>5.334532786885246E-2</v>
      </c>
      <c r="CB170" s="143" t="e">
        <f>BL170/BV170</f>
        <v>#VALUE!</v>
      </c>
      <c r="CC170" s="143" t="e">
        <f>BM170/BW170</f>
        <v>#VALUE!</v>
      </c>
      <c r="CD170" s="259" t="e">
        <f>AVERAGE(BY170:CC170)</f>
        <v>#VALUE!</v>
      </c>
    </row>
    <row r="171" spans="1:82" ht="14.5">
      <c r="A171" s="143" t="s">
        <v>429</v>
      </c>
      <c r="B171" s="143" t="s">
        <v>1490</v>
      </c>
      <c r="C171" s="144" t="s">
        <v>1491</v>
      </c>
      <c r="D171" s="144" t="s">
        <v>1492</v>
      </c>
      <c r="E171" s="145" t="s">
        <v>1493</v>
      </c>
      <c r="F171" s="143" t="str">
        <f>SUBSTITUTE(E171," ","")</f>
        <v>59006670300</v>
      </c>
      <c r="G171" s="143" t="s">
        <v>1494</v>
      </c>
      <c r="H171" s="143" t="s">
        <v>53</v>
      </c>
      <c r="I171" s="143">
        <v>4825</v>
      </c>
      <c r="J171" s="143">
        <v>-18.722878999999999</v>
      </c>
      <c r="K171" s="143">
        <v>138.59972400000001</v>
      </c>
      <c r="L171" s="143" t="s">
        <v>292</v>
      </c>
      <c r="M171" s="143" t="s">
        <v>292</v>
      </c>
      <c r="N171" s="143" t="s">
        <v>292</v>
      </c>
      <c r="O171" s="143"/>
      <c r="P171" s="143"/>
      <c r="Q171" s="143" t="s">
        <v>227</v>
      </c>
      <c r="R171" s="143" t="s">
        <v>79</v>
      </c>
      <c r="S171" s="147"/>
      <c r="T171" s="143"/>
      <c r="U171" s="143"/>
      <c r="V171" s="143"/>
      <c r="W171" s="143"/>
      <c r="X171" s="143"/>
      <c r="Y171" s="143"/>
      <c r="Z171" s="143"/>
      <c r="AA171" s="143"/>
      <c r="AB171" s="143"/>
      <c r="AC171" s="143"/>
      <c r="AD171" s="153"/>
      <c r="AE171" s="153"/>
      <c r="AF171" s="143"/>
      <c r="AG171" s="155"/>
      <c r="AH171" s="150" t="s">
        <v>37</v>
      </c>
      <c r="AI171" s="151" t="s">
        <v>76</v>
      </c>
      <c r="AJ171" s="151" t="s">
        <v>70</v>
      </c>
      <c r="AK171" s="151" t="s">
        <v>70</v>
      </c>
      <c r="AL171" s="151" t="s">
        <v>118</v>
      </c>
      <c r="AM171" s="151" t="s">
        <v>70</v>
      </c>
      <c r="AN171" s="151" t="s">
        <v>70</v>
      </c>
      <c r="AO171" s="151" t="s">
        <v>70</v>
      </c>
      <c r="AP171" s="152"/>
      <c r="AQ171" s="153"/>
      <c r="AR171" s="153"/>
      <c r="AS171" s="153"/>
      <c r="AT171" s="153"/>
      <c r="AU171" s="154"/>
      <c r="AV171" s="153" t="s">
        <v>106</v>
      </c>
      <c r="AW171" s="153" t="s">
        <v>106</v>
      </c>
      <c r="AX171" s="153" t="s">
        <v>106</v>
      </c>
      <c r="AY171" s="153" t="s">
        <v>106</v>
      </c>
      <c r="AZ171" s="153" t="s">
        <v>106</v>
      </c>
      <c r="BA171" s="154" t="s">
        <v>114</v>
      </c>
      <c r="BB171" s="152">
        <v>134238</v>
      </c>
      <c r="BC171" s="153">
        <v>134238</v>
      </c>
      <c r="BD171" s="153">
        <v>134238</v>
      </c>
      <c r="BE171" s="153">
        <v>134238</v>
      </c>
      <c r="BF171" s="153">
        <v>134238</v>
      </c>
      <c r="BG171" s="157"/>
      <c r="BH171" s="155"/>
      <c r="BI171" s="152" t="s">
        <v>920</v>
      </c>
      <c r="BJ171" s="153" t="s">
        <v>920</v>
      </c>
      <c r="BK171" s="153" t="s">
        <v>920</v>
      </c>
      <c r="BL171" s="153" t="s">
        <v>920</v>
      </c>
      <c r="BM171" s="153" t="s">
        <v>920</v>
      </c>
      <c r="BN171" s="154">
        <f>SUMIF(BI171:BM171,"&gt;0",BI171:BM171)</f>
        <v>0</v>
      </c>
      <c r="BO171" s="156"/>
      <c r="BP171" s="148"/>
      <c r="BQ171" s="153"/>
      <c r="BR171" s="153"/>
      <c r="BS171" s="152"/>
      <c r="BT171" s="148"/>
      <c r="BU171" s="148"/>
      <c r="BV171" s="148"/>
      <c r="BW171" s="148"/>
      <c r="BX171" s="154">
        <f>SUM(BS171:BW171)</f>
        <v>0</v>
      </c>
      <c r="BY171" s="143"/>
      <c r="BZ171" s="143"/>
      <c r="CA171" s="143"/>
      <c r="CB171" s="143"/>
      <c r="CC171" s="143"/>
      <c r="CD171" s="143"/>
    </row>
    <row r="172" spans="1:82" ht="14.5">
      <c r="A172" s="143" t="s">
        <v>466</v>
      </c>
      <c r="B172" s="143" t="s">
        <v>1605</v>
      </c>
      <c r="C172" s="144" t="s">
        <v>1606</v>
      </c>
      <c r="D172" s="144" t="s">
        <v>1607</v>
      </c>
      <c r="E172" s="145" t="s">
        <v>1608</v>
      </c>
      <c r="F172" s="143" t="str">
        <f>SUBSTITUTE(E172," ","")</f>
        <v>90081022380</v>
      </c>
      <c r="G172" s="143" t="s">
        <v>1609</v>
      </c>
      <c r="H172" s="143" t="s">
        <v>53</v>
      </c>
      <c r="I172" s="143">
        <v>4401</v>
      </c>
      <c r="J172" s="143">
        <v>-27.274404000000001</v>
      </c>
      <c r="K172" s="143">
        <v>151.69769299999999</v>
      </c>
      <c r="L172" s="143" t="s">
        <v>292</v>
      </c>
      <c r="M172" s="143" t="s">
        <v>292</v>
      </c>
      <c r="N172" s="143" t="s">
        <v>292</v>
      </c>
      <c r="O172" s="143"/>
      <c r="P172" s="143"/>
      <c r="Q172" s="143" t="s">
        <v>29</v>
      </c>
      <c r="R172" s="143" t="s">
        <v>29</v>
      </c>
      <c r="S172" s="147"/>
      <c r="T172" s="143"/>
      <c r="U172" s="143"/>
      <c r="V172" s="143"/>
      <c r="W172" s="143"/>
      <c r="X172" s="143"/>
      <c r="Y172" s="143"/>
      <c r="Z172" s="143"/>
      <c r="AA172" s="143"/>
      <c r="AB172" s="143"/>
      <c r="AC172" s="143"/>
      <c r="AD172" s="153"/>
      <c r="AE172" s="153"/>
      <c r="AF172" s="143"/>
      <c r="AG172" s="155"/>
      <c r="AH172" s="147" t="s">
        <v>26</v>
      </c>
      <c r="AI172" s="146" t="s">
        <v>36</v>
      </c>
      <c r="AJ172" s="146" t="s">
        <v>1111</v>
      </c>
      <c r="AK172" s="146" t="s">
        <v>21</v>
      </c>
      <c r="AL172" s="146" t="s">
        <v>132</v>
      </c>
      <c r="AM172" s="143" t="s">
        <v>27</v>
      </c>
      <c r="AN172" s="143">
        <v>6.5</v>
      </c>
      <c r="AO172" s="143"/>
      <c r="AP172" s="152"/>
      <c r="AQ172" s="153"/>
      <c r="AR172" s="153"/>
      <c r="AS172" s="153"/>
      <c r="AT172" s="153"/>
      <c r="AU172" s="154"/>
      <c r="AV172" s="153" t="s">
        <v>106</v>
      </c>
      <c r="AW172" s="153" t="s">
        <v>106</v>
      </c>
      <c r="AX172" s="153" t="s">
        <v>106</v>
      </c>
      <c r="AY172" s="153" t="s">
        <v>106</v>
      </c>
      <c r="AZ172" s="153" t="s">
        <v>106</v>
      </c>
      <c r="BA172" s="154" t="s">
        <v>114</v>
      </c>
      <c r="BB172" s="152">
        <v>286093</v>
      </c>
      <c r="BC172" s="153">
        <v>286093</v>
      </c>
      <c r="BD172" s="153">
        <v>286093</v>
      </c>
      <c r="BE172" s="153">
        <v>286093</v>
      </c>
      <c r="BF172" s="153">
        <v>286093</v>
      </c>
      <c r="BG172" s="157"/>
      <c r="BH172" s="155"/>
      <c r="BI172" s="152" t="s">
        <v>920</v>
      </c>
      <c r="BJ172" s="153" t="s">
        <v>920</v>
      </c>
      <c r="BK172" s="153" t="s">
        <v>920</v>
      </c>
      <c r="BL172" s="153" t="s">
        <v>920</v>
      </c>
      <c r="BM172" s="153" t="s">
        <v>920</v>
      </c>
      <c r="BN172" s="154">
        <f>SUMIF(BI172:BM172,"&gt;0",BI172:BM172)</f>
        <v>0</v>
      </c>
      <c r="BO172" s="156"/>
      <c r="BP172" s="148"/>
      <c r="BQ172" s="153"/>
      <c r="BR172" s="153"/>
      <c r="BS172" s="156" t="s">
        <v>1096</v>
      </c>
      <c r="BT172" s="148" t="s">
        <v>1096</v>
      </c>
      <c r="BU172" s="148" t="s">
        <v>1096</v>
      </c>
      <c r="BV172" s="148" t="s">
        <v>1096</v>
      </c>
      <c r="BW172" s="148" t="s">
        <v>1096</v>
      </c>
      <c r="BX172" s="154">
        <f>SUM(BS172:BW172)</f>
        <v>0</v>
      </c>
      <c r="BY172" s="143" t="e">
        <f>BI172/BS172</f>
        <v>#VALUE!</v>
      </c>
      <c r="BZ172" s="143" t="e">
        <f>BJ172/BT172</f>
        <v>#VALUE!</v>
      </c>
      <c r="CA172" s="143" t="e">
        <f>BK172/BU172</f>
        <v>#VALUE!</v>
      </c>
      <c r="CB172" s="143" t="e">
        <f>BL172/BV172</f>
        <v>#VALUE!</v>
      </c>
      <c r="CC172" s="143" t="e">
        <f>BM172/BW172</f>
        <v>#VALUE!</v>
      </c>
      <c r="CD172" s="143" t="e">
        <f>AVERAGE(BY172:CC172)</f>
        <v>#VALUE!</v>
      </c>
    </row>
    <row r="173" spans="1:82" ht="14.5">
      <c r="A173" s="143" t="s">
        <v>318</v>
      </c>
      <c r="B173" s="143"/>
      <c r="C173" s="144" t="s">
        <v>1115</v>
      </c>
      <c r="D173" s="144" t="s">
        <v>1116</v>
      </c>
      <c r="E173" s="145" t="s">
        <v>1117</v>
      </c>
      <c r="F173" s="143" t="str">
        <f>SUBSTITUTE(E173," ","")</f>
        <v>32053909470</v>
      </c>
      <c r="G173" s="143" t="s">
        <v>1118</v>
      </c>
      <c r="H173" s="143" t="s">
        <v>31</v>
      </c>
      <c r="I173" s="143">
        <v>2333</v>
      </c>
      <c r="J173" s="143">
        <v>-32.276943000000003</v>
      </c>
      <c r="K173" s="143">
        <v>150.82724899999999</v>
      </c>
      <c r="L173" s="143">
        <v>1999</v>
      </c>
      <c r="M173" s="143">
        <v>23</v>
      </c>
      <c r="N173" s="143">
        <v>2039</v>
      </c>
      <c r="O173" s="143"/>
      <c r="P173" s="143"/>
      <c r="Q173" s="143" t="s">
        <v>29</v>
      </c>
      <c r="R173" s="143" t="s">
        <v>29</v>
      </c>
      <c r="S173" s="147"/>
      <c r="T173" s="143"/>
      <c r="U173" s="143"/>
      <c r="V173" s="143"/>
      <c r="W173" s="143"/>
      <c r="X173" s="143"/>
      <c r="Y173" s="143"/>
      <c r="Z173" s="143"/>
      <c r="AA173" s="143"/>
      <c r="AB173" s="143"/>
      <c r="AC173" s="143"/>
      <c r="AD173" s="153"/>
      <c r="AE173" s="153"/>
      <c r="AF173" s="143"/>
      <c r="AG173" s="155"/>
      <c r="AH173" s="147" t="s">
        <v>26</v>
      </c>
      <c r="AI173" s="146" t="s">
        <v>36</v>
      </c>
      <c r="AJ173" s="146" t="s">
        <v>1111</v>
      </c>
      <c r="AK173" s="146" t="s">
        <v>21</v>
      </c>
      <c r="AL173" s="143" t="s">
        <v>134</v>
      </c>
      <c r="AM173" s="143"/>
      <c r="AN173" s="143"/>
      <c r="AO173" s="143"/>
      <c r="AP173" s="152" t="s">
        <v>26</v>
      </c>
      <c r="AQ173" s="153" t="s">
        <v>26</v>
      </c>
      <c r="AR173" s="160" t="str">
        <f>IF(BF173&gt;(BE173*1.1),"yes","no")</f>
        <v>no</v>
      </c>
      <c r="AS173" s="160" t="str">
        <f>IF(BM173&gt;(BJ173*1.1),"yes","no")</f>
        <v>no</v>
      </c>
      <c r="AT173" s="160" t="str">
        <f>IF(BM173&gt;(BI173*1.1),"yes","no")</f>
        <v>no</v>
      </c>
      <c r="AU173" s="154">
        <v>0</v>
      </c>
      <c r="AV173" s="153" t="s">
        <v>1028</v>
      </c>
      <c r="AW173" s="153" t="s">
        <v>106</v>
      </c>
      <c r="AX173" s="153" t="s">
        <v>73</v>
      </c>
      <c r="AY173" s="153" t="s">
        <v>80</v>
      </c>
      <c r="AZ173" s="153" t="s">
        <v>80</v>
      </c>
      <c r="BA173" s="154" t="s">
        <v>114</v>
      </c>
      <c r="BB173" s="152">
        <v>443494</v>
      </c>
      <c r="BC173" s="153">
        <v>443494</v>
      </c>
      <c r="BD173" s="153">
        <v>495590</v>
      </c>
      <c r="BE173" s="157">
        <v>496948</v>
      </c>
      <c r="BF173" s="157">
        <v>532776</v>
      </c>
      <c r="BG173" s="157"/>
      <c r="BH173" s="155"/>
      <c r="BI173" s="152">
        <v>429011</v>
      </c>
      <c r="BJ173" s="153">
        <v>425713</v>
      </c>
      <c r="BK173" s="153">
        <v>465015</v>
      </c>
      <c r="BL173" s="153">
        <v>538857</v>
      </c>
      <c r="BM173" s="153">
        <v>449399</v>
      </c>
      <c r="BN173" s="154">
        <f>SUMIF(BI173:BM173,"&gt;0",BI173:BM173)</f>
        <v>2307995</v>
      </c>
      <c r="BO173" s="156">
        <v>693715</v>
      </c>
      <c r="BP173" s="148">
        <v>693715</v>
      </c>
      <c r="BQ173" s="153">
        <v>693715</v>
      </c>
      <c r="BR173" s="153">
        <v>693715</v>
      </c>
      <c r="BS173" s="152">
        <v>10900000</v>
      </c>
      <c r="BT173" s="148">
        <v>11300000</v>
      </c>
      <c r="BU173" s="148">
        <v>12500000</v>
      </c>
      <c r="BV173" s="148">
        <v>11960000</v>
      </c>
      <c r="BW173" s="148">
        <v>12870000</v>
      </c>
      <c r="BX173" s="154">
        <f>SUM(BS173:BW173)</f>
        <v>59530000</v>
      </c>
      <c r="BY173" s="143">
        <f>BI173/BS173</f>
        <v>3.9358807339449541E-2</v>
      </c>
      <c r="BZ173" s="143">
        <f>BJ173/BT173</f>
        <v>3.7673716814159292E-2</v>
      </c>
      <c r="CA173" s="143">
        <f>BK173/BU173</f>
        <v>3.7201199999999997E-2</v>
      </c>
      <c r="CB173" s="143">
        <f>BL173/BV173</f>
        <v>4.5054933110367894E-2</v>
      </c>
      <c r="CC173" s="143">
        <f>BM173/BW173</f>
        <v>3.4918337218337217E-2</v>
      </c>
      <c r="CD173" s="259">
        <f>AVERAGE(BY173:CC173)</f>
        <v>3.8841398896462785E-2</v>
      </c>
    </row>
    <row r="174" spans="1:82" ht="14.5">
      <c r="A174" s="143" t="s">
        <v>372</v>
      </c>
      <c r="B174" s="143" t="s">
        <v>1277</v>
      </c>
      <c r="C174" s="144" t="s">
        <v>1278</v>
      </c>
      <c r="D174" s="144" t="s">
        <v>1279</v>
      </c>
      <c r="E174" s="145" t="s">
        <v>1280</v>
      </c>
      <c r="F174" s="143" t="str">
        <f>SUBSTITUTE(E174," ","")</f>
        <v>56784733957</v>
      </c>
      <c r="G174" s="143" t="s">
        <v>1281</v>
      </c>
      <c r="H174" s="143" t="s">
        <v>31</v>
      </c>
      <c r="I174" s="143">
        <v>2766</v>
      </c>
      <c r="J174" s="143">
        <v>-33.814418000000003</v>
      </c>
      <c r="K174" s="143">
        <v>150.86369999999999</v>
      </c>
      <c r="L174" s="143" t="s">
        <v>292</v>
      </c>
      <c r="M174" s="143" t="s">
        <v>292</v>
      </c>
      <c r="N174" s="143" t="s">
        <v>292</v>
      </c>
      <c r="O174" s="143"/>
      <c r="P174" s="143"/>
      <c r="Q174" s="143" t="s">
        <v>287</v>
      </c>
      <c r="R174" s="143" t="s">
        <v>85</v>
      </c>
      <c r="S174" s="147" t="s">
        <v>612</v>
      </c>
      <c r="T174" s="143">
        <v>3</v>
      </c>
      <c r="U174" s="143" t="s">
        <v>1282</v>
      </c>
      <c r="V174" s="143" t="s">
        <v>1283</v>
      </c>
      <c r="W174" s="143" t="s">
        <v>1284</v>
      </c>
      <c r="X174" s="143" t="s">
        <v>85</v>
      </c>
      <c r="Y174" s="143" t="s">
        <v>1285</v>
      </c>
      <c r="Z174" s="143" t="s">
        <v>1286</v>
      </c>
      <c r="AA174" s="143" t="s">
        <v>1287</v>
      </c>
      <c r="AB174" s="153">
        <f>1546723+324976+1191046</f>
        <v>3062745</v>
      </c>
      <c r="AC174" s="153" t="s">
        <v>1288</v>
      </c>
      <c r="AD174" s="153">
        <f>(3526278/4)+(913546/3)+1107584</f>
        <v>2293668.833333333</v>
      </c>
      <c r="AE174" s="153">
        <f>(3526278/4)+(800505/3)+868486</f>
        <v>2016890.5</v>
      </c>
      <c r="AF174" s="143" t="s">
        <v>1045</v>
      </c>
      <c r="AG174" s="155" t="s">
        <v>1289</v>
      </c>
      <c r="AH174" s="150" t="s">
        <v>37</v>
      </c>
      <c r="AI174" s="151" t="s">
        <v>76</v>
      </c>
      <c r="AJ174" s="151" t="s">
        <v>70</v>
      </c>
      <c r="AK174" s="151" t="s">
        <v>70</v>
      </c>
      <c r="AL174" s="151" t="s">
        <v>118</v>
      </c>
      <c r="AM174" s="151" t="s">
        <v>70</v>
      </c>
      <c r="AN174" s="151" t="s">
        <v>70</v>
      </c>
      <c r="AO174" s="151" t="s">
        <v>70</v>
      </c>
      <c r="AP174" s="152"/>
      <c r="AQ174" s="153"/>
      <c r="AR174" s="153"/>
      <c r="AS174" s="153"/>
      <c r="AT174" s="153"/>
      <c r="AU174" s="154"/>
      <c r="AV174" s="153" t="s">
        <v>106</v>
      </c>
      <c r="AW174" s="153" t="s">
        <v>106</v>
      </c>
      <c r="AX174" s="153" t="s">
        <v>106</v>
      </c>
      <c r="AY174" s="153" t="s">
        <v>106</v>
      </c>
      <c r="AZ174" s="153" t="s">
        <v>106</v>
      </c>
      <c r="BA174" s="154" t="s">
        <v>114</v>
      </c>
      <c r="BB174" s="152">
        <v>151530</v>
      </c>
      <c r="BC174" s="153">
        <v>151530</v>
      </c>
      <c r="BD174" s="153">
        <v>151530</v>
      </c>
      <c r="BE174" s="157">
        <v>151530</v>
      </c>
      <c r="BF174" s="157">
        <v>151530</v>
      </c>
      <c r="BG174" s="157"/>
      <c r="BH174" s="155"/>
      <c r="BI174" s="152" t="s">
        <v>920</v>
      </c>
      <c r="BJ174" s="153" t="s">
        <v>920</v>
      </c>
      <c r="BK174" s="153" t="s">
        <v>920</v>
      </c>
      <c r="BL174" s="153" t="s">
        <v>920</v>
      </c>
      <c r="BM174" s="153" t="s">
        <v>920</v>
      </c>
      <c r="BN174" s="154">
        <f>SUMIF(BI174:BM174,"&gt;0",BI174:BM174)</f>
        <v>0</v>
      </c>
      <c r="BO174" s="156"/>
      <c r="BP174" s="148"/>
      <c r="BQ174" s="153"/>
      <c r="BR174" s="153"/>
      <c r="BS174" s="152"/>
      <c r="BT174" s="148"/>
      <c r="BU174" s="148"/>
      <c r="BV174" s="148"/>
      <c r="BW174" s="148"/>
      <c r="BX174" s="154">
        <f>SUM(BS174:BW174)</f>
        <v>0</v>
      </c>
      <c r="BY174" s="143"/>
      <c r="BZ174" s="143"/>
      <c r="CA174" s="143"/>
      <c r="CB174" s="143"/>
      <c r="CC174" s="143"/>
      <c r="CD174" s="259"/>
    </row>
    <row r="175" spans="1:82" ht="14.5">
      <c r="A175" s="143" t="s">
        <v>562</v>
      </c>
      <c r="B175" s="143" t="s">
        <v>1944</v>
      </c>
      <c r="C175" s="144" t="s">
        <v>823</v>
      </c>
      <c r="D175" s="144" t="s">
        <v>1159</v>
      </c>
      <c r="E175" s="145" t="s">
        <v>824</v>
      </c>
      <c r="F175" s="143" t="str">
        <f>SUBSTITUTE(E175," ","")</f>
        <v>20005683625</v>
      </c>
      <c r="G175" s="143" t="s">
        <v>1945</v>
      </c>
      <c r="H175" s="143" t="s">
        <v>81</v>
      </c>
      <c r="I175" s="143">
        <v>6762</v>
      </c>
      <c r="J175" s="143">
        <v>-21.714721999999998</v>
      </c>
      <c r="K175" s="143">
        <v>122.214167</v>
      </c>
      <c r="L175" s="143">
        <v>1977</v>
      </c>
      <c r="M175" s="143">
        <v>45</v>
      </c>
      <c r="N175" s="143">
        <v>2024</v>
      </c>
      <c r="O175" s="143"/>
      <c r="P175" s="143"/>
      <c r="Q175" s="143" t="s">
        <v>123</v>
      </c>
      <c r="R175" s="143" t="s">
        <v>79</v>
      </c>
      <c r="S175" s="147"/>
      <c r="T175" s="143"/>
      <c r="U175" s="143"/>
      <c r="V175" s="143"/>
      <c r="W175" s="143"/>
      <c r="X175" s="143"/>
      <c r="Y175" s="143"/>
      <c r="Z175" s="143"/>
      <c r="AA175" s="143"/>
      <c r="AB175" s="143"/>
      <c r="AC175" s="143"/>
      <c r="AD175" s="153"/>
      <c r="AE175" s="153"/>
      <c r="AF175" s="143"/>
      <c r="AG175" s="155"/>
      <c r="AH175" s="150" t="s">
        <v>37</v>
      </c>
      <c r="AI175" s="151" t="s">
        <v>76</v>
      </c>
      <c r="AJ175" s="151" t="s">
        <v>70</v>
      </c>
      <c r="AK175" s="151" t="s">
        <v>70</v>
      </c>
      <c r="AL175" s="151" t="s">
        <v>118</v>
      </c>
      <c r="AM175" s="151" t="s">
        <v>70</v>
      </c>
      <c r="AN175" s="151" t="s">
        <v>70</v>
      </c>
      <c r="AO175" s="151" t="s">
        <v>70</v>
      </c>
      <c r="AP175" s="152"/>
      <c r="AQ175" s="153"/>
      <c r="AR175" s="153"/>
      <c r="AS175" s="153"/>
      <c r="AT175" s="153"/>
      <c r="AU175" s="154"/>
      <c r="AV175" s="153" t="s">
        <v>1028</v>
      </c>
      <c r="AW175" s="153" t="s">
        <v>106</v>
      </c>
      <c r="AX175" s="153" t="s">
        <v>106</v>
      </c>
      <c r="AY175" s="153" t="s">
        <v>106</v>
      </c>
      <c r="AZ175" s="153" t="s">
        <v>73</v>
      </c>
      <c r="BA175" s="154" t="s">
        <v>73</v>
      </c>
      <c r="BB175" s="152">
        <v>632775</v>
      </c>
      <c r="BC175" s="153">
        <v>632775</v>
      </c>
      <c r="BD175" s="153">
        <v>632775</v>
      </c>
      <c r="BE175" s="157">
        <v>632775</v>
      </c>
      <c r="BF175" s="157">
        <v>626808</v>
      </c>
      <c r="BG175" s="157"/>
      <c r="BH175" s="155"/>
      <c r="BI175" s="152">
        <v>471889</v>
      </c>
      <c r="BJ175" s="153">
        <v>535825</v>
      </c>
      <c r="BK175" s="153">
        <v>543934</v>
      </c>
      <c r="BL175" s="153">
        <v>493272</v>
      </c>
      <c r="BM175" s="153">
        <v>500048</v>
      </c>
      <c r="BN175" s="154">
        <f>SUMIF(BI175:BM175,"&gt;0",BI175:BM175)</f>
        <v>2544968</v>
      </c>
      <c r="BO175" s="156"/>
      <c r="BP175" s="148"/>
      <c r="BQ175" s="153"/>
      <c r="BR175" s="153"/>
      <c r="BS175" s="152"/>
      <c r="BT175" s="148"/>
      <c r="BU175" s="148"/>
      <c r="BV175" s="148"/>
      <c r="BW175" s="148"/>
      <c r="BX175" s="154">
        <f>SUM(BS175:BW175)</f>
        <v>0</v>
      </c>
      <c r="BY175" s="143"/>
      <c r="BZ175" s="143"/>
      <c r="CA175" s="143"/>
      <c r="CB175" s="143"/>
      <c r="CC175" s="143"/>
      <c r="CD175" s="259"/>
    </row>
    <row r="176" spans="1:82" ht="14.5">
      <c r="A176" s="143" t="s">
        <v>331</v>
      </c>
      <c r="B176" s="143"/>
      <c r="C176" s="144"/>
      <c r="D176" s="144" t="s">
        <v>1159</v>
      </c>
      <c r="E176" s="145" t="s">
        <v>1160</v>
      </c>
      <c r="F176" s="143" t="str">
        <f>SUBSTITUTE(E176," ","")</f>
        <v>95062648006</v>
      </c>
      <c r="G176" s="143" t="s">
        <v>1161</v>
      </c>
      <c r="H176" s="143" t="s">
        <v>31</v>
      </c>
      <c r="I176" s="143">
        <v>2800</v>
      </c>
      <c r="J176" s="143">
        <v>-33.435544999999998</v>
      </c>
      <c r="K176" s="143">
        <v>148.976113</v>
      </c>
      <c r="L176" s="143" t="s">
        <v>292</v>
      </c>
      <c r="M176" s="143" t="s">
        <v>292</v>
      </c>
      <c r="N176" s="143" t="s">
        <v>292</v>
      </c>
      <c r="O176" s="143"/>
      <c r="P176" s="143"/>
      <c r="Q176" s="143" t="s">
        <v>123</v>
      </c>
      <c r="R176" s="143" t="s">
        <v>79</v>
      </c>
      <c r="S176" s="147"/>
      <c r="T176" s="143"/>
      <c r="U176" s="143"/>
      <c r="V176" s="143"/>
      <c r="W176" s="143"/>
      <c r="X176" s="143"/>
      <c r="Y176" s="143"/>
      <c r="Z176" s="143"/>
      <c r="AA176" s="143"/>
      <c r="AB176" s="143"/>
      <c r="AC176" s="143"/>
      <c r="AD176" s="153"/>
      <c r="AE176" s="153"/>
      <c r="AF176" s="143"/>
      <c r="AG176" s="155"/>
      <c r="AH176" s="150" t="s">
        <v>37</v>
      </c>
      <c r="AI176" s="151" t="s">
        <v>76</v>
      </c>
      <c r="AJ176" s="151" t="s">
        <v>70</v>
      </c>
      <c r="AK176" s="151" t="s">
        <v>70</v>
      </c>
      <c r="AL176" s="151" t="s">
        <v>118</v>
      </c>
      <c r="AM176" s="151" t="s">
        <v>70</v>
      </c>
      <c r="AN176" s="151" t="s">
        <v>70</v>
      </c>
      <c r="AO176" s="151" t="s">
        <v>70</v>
      </c>
      <c r="AP176" s="152"/>
      <c r="AQ176" s="153"/>
      <c r="AR176" s="153"/>
      <c r="AS176" s="153"/>
      <c r="AT176" s="153"/>
      <c r="AU176" s="154"/>
      <c r="AV176" s="153" t="s">
        <v>106</v>
      </c>
      <c r="AW176" s="153" t="s">
        <v>106</v>
      </c>
      <c r="AX176" s="153" t="s">
        <v>106</v>
      </c>
      <c r="AY176" s="153" t="s">
        <v>106</v>
      </c>
      <c r="AZ176" s="153" t="s">
        <v>106</v>
      </c>
      <c r="BA176" s="154" t="s">
        <v>114</v>
      </c>
      <c r="BB176" s="152">
        <v>112476</v>
      </c>
      <c r="BC176" s="153">
        <v>112476</v>
      </c>
      <c r="BD176" s="153">
        <v>112476</v>
      </c>
      <c r="BE176" s="153">
        <v>112476</v>
      </c>
      <c r="BF176" s="153">
        <v>112476</v>
      </c>
      <c r="BG176" s="157"/>
      <c r="BH176" s="155"/>
      <c r="BI176" s="152" t="s">
        <v>920</v>
      </c>
      <c r="BJ176" s="153" t="s">
        <v>920</v>
      </c>
      <c r="BK176" s="153" t="s">
        <v>920</v>
      </c>
      <c r="BL176" s="153" t="s">
        <v>920</v>
      </c>
      <c r="BM176" s="153" t="s">
        <v>920</v>
      </c>
      <c r="BN176" s="154">
        <f>SUMIF(BI176:BM176,"&gt;0",BI176:BM176)</f>
        <v>0</v>
      </c>
      <c r="BO176" s="156"/>
      <c r="BP176" s="148"/>
      <c r="BQ176" s="153"/>
      <c r="BR176" s="153"/>
      <c r="BS176" s="152"/>
      <c r="BT176" s="148"/>
      <c r="BU176" s="148"/>
      <c r="BV176" s="148"/>
      <c r="BW176" s="148"/>
      <c r="BX176" s="154">
        <f>SUM(BS176:BW176)</f>
        <v>0</v>
      </c>
      <c r="BY176" s="143"/>
      <c r="BZ176" s="143"/>
      <c r="CA176" s="143"/>
      <c r="CB176" s="143"/>
      <c r="CC176" s="143"/>
      <c r="CD176" s="259"/>
    </row>
    <row r="177" spans="1:82" ht="14.5">
      <c r="A177" s="143" t="s">
        <v>471</v>
      </c>
      <c r="B177" s="143" t="s">
        <v>1624</v>
      </c>
      <c r="C177" s="144" t="s">
        <v>759</v>
      </c>
      <c r="D177" s="144" t="s">
        <v>1625</v>
      </c>
      <c r="E177" s="145" t="s">
        <v>760</v>
      </c>
      <c r="F177" s="143" t="str">
        <f>SUBSTITUTE(E177," ","")</f>
        <v>32062936547</v>
      </c>
      <c r="G177" s="143" t="s">
        <v>1626</v>
      </c>
      <c r="H177" s="143" t="s">
        <v>81</v>
      </c>
      <c r="I177" s="143">
        <v>6390</v>
      </c>
      <c r="J177" s="143">
        <v>-32.750556000000003</v>
      </c>
      <c r="K177" s="143">
        <v>116.356667</v>
      </c>
      <c r="L177" s="143" t="s">
        <v>292</v>
      </c>
      <c r="M177" s="143" t="s">
        <v>292</v>
      </c>
      <c r="N177" s="143" t="s">
        <v>292</v>
      </c>
      <c r="O177" s="143"/>
      <c r="P177" s="143"/>
      <c r="Q177" s="143" t="s">
        <v>123</v>
      </c>
      <c r="R177" s="143" t="s">
        <v>79</v>
      </c>
      <c r="S177" s="147"/>
      <c r="T177" s="143"/>
      <c r="U177" s="143"/>
      <c r="V177" s="143"/>
      <c r="W177" s="143"/>
      <c r="X177" s="143"/>
      <c r="Y177" s="143"/>
      <c r="Z177" s="143"/>
      <c r="AA177" s="143"/>
      <c r="AB177" s="143"/>
      <c r="AC177" s="143"/>
      <c r="AD177" s="153"/>
      <c r="AE177" s="153"/>
      <c r="AF177" s="143"/>
      <c r="AG177" s="155"/>
      <c r="AH177" s="150" t="s">
        <v>37</v>
      </c>
      <c r="AI177" s="151" t="s">
        <v>76</v>
      </c>
      <c r="AJ177" s="151" t="s">
        <v>70</v>
      </c>
      <c r="AK177" s="151" t="s">
        <v>70</v>
      </c>
      <c r="AL177" s="151" t="s">
        <v>118</v>
      </c>
      <c r="AM177" s="151" t="s">
        <v>70</v>
      </c>
      <c r="AN177" s="151" t="s">
        <v>70</v>
      </c>
      <c r="AO177" s="151" t="s">
        <v>70</v>
      </c>
      <c r="AP177" s="152"/>
      <c r="AQ177" s="153"/>
      <c r="AR177" s="153"/>
      <c r="AS177" s="153"/>
      <c r="AT177" s="153"/>
      <c r="AU177" s="154"/>
      <c r="AV177" s="153" t="s">
        <v>106</v>
      </c>
      <c r="AW177" s="153" t="s">
        <v>106</v>
      </c>
      <c r="AX177" s="153" t="s">
        <v>106</v>
      </c>
      <c r="AY177" s="153" t="s">
        <v>98</v>
      </c>
      <c r="AZ177" s="153" t="s">
        <v>98</v>
      </c>
      <c r="BA177" s="154" t="s">
        <v>98</v>
      </c>
      <c r="BB177" s="152">
        <v>208038</v>
      </c>
      <c r="BC177" s="153">
        <v>208038</v>
      </c>
      <c r="BD177" s="153">
        <v>208038</v>
      </c>
      <c r="BE177" s="157">
        <v>340447</v>
      </c>
      <c r="BF177" s="157">
        <v>354726</v>
      </c>
      <c r="BG177" s="157"/>
      <c r="BH177" s="155"/>
      <c r="BI177" s="152" t="s">
        <v>920</v>
      </c>
      <c r="BJ177" s="153" t="s">
        <v>920</v>
      </c>
      <c r="BK177" s="153" t="s">
        <v>920</v>
      </c>
      <c r="BL177" s="153">
        <v>227833</v>
      </c>
      <c r="BM177" s="153">
        <v>219576</v>
      </c>
      <c r="BN177" s="154">
        <f>SUMIF(BI177:BM177,"&gt;0",BI177:BM177)</f>
        <v>447409</v>
      </c>
      <c r="BO177" s="156"/>
      <c r="BP177" s="148"/>
      <c r="BQ177" s="153"/>
      <c r="BR177" s="153"/>
      <c r="BS177" s="152"/>
      <c r="BT177" s="148"/>
      <c r="BU177" s="148"/>
      <c r="BV177" s="148"/>
      <c r="BW177" s="148"/>
      <c r="BX177" s="154">
        <f>SUM(BS177:BW177)</f>
        <v>0</v>
      </c>
      <c r="BY177" s="143"/>
      <c r="BZ177" s="143"/>
      <c r="CA177" s="143"/>
      <c r="CB177" s="143"/>
      <c r="CC177" s="143"/>
      <c r="CD177" s="143"/>
    </row>
    <row r="178" spans="1:82" ht="14.5">
      <c r="A178" s="143" t="s">
        <v>472</v>
      </c>
      <c r="B178" s="143" t="s">
        <v>997</v>
      </c>
      <c r="C178" s="144" t="s">
        <v>761</v>
      </c>
      <c r="D178" s="144" t="s">
        <v>1625</v>
      </c>
      <c r="E178" s="145" t="s">
        <v>762</v>
      </c>
      <c r="F178" s="143" t="str">
        <f>SUBSTITUTE(E178," ","")</f>
        <v>39007688093</v>
      </c>
      <c r="G178" s="143" t="s">
        <v>292</v>
      </c>
      <c r="H178" s="143" t="s">
        <v>81</v>
      </c>
      <c r="I178" s="143" t="s">
        <v>292</v>
      </c>
      <c r="J178" s="143" t="s">
        <v>292</v>
      </c>
      <c r="K178" s="143" t="s">
        <v>292</v>
      </c>
      <c r="L178" s="143" t="s">
        <v>292</v>
      </c>
      <c r="M178" s="143" t="s">
        <v>292</v>
      </c>
      <c r="N178" s="143" t="s">
        <v>292</v>
      </c>
      <c r="O178" s="143"/>
      <c r="P178" s="143"/>
      <c r="Q178" s="143" t="s">
        <v>123</v>
      </c>
      <c r="R178" s="143" t="s">
        <v>79</v>
      </c>
      <c r="S178" s="147"/>
      <c r="T178" s="143"/>
      <c r="U178" s="143"/>
      <c r="V178" s="143"/>
      <c r="W178" s="143"/>
      <c r="X178" s="143"/>
      <c r="Y178" s="143"/>
      <c r="Z178" s="143"/>
      <c r="AA178" s="143"/>
      <c r="AB178" s="143"/>
      <c r="AC178" s="143"/>
      <c r="AD178" s="153"/>
      <c r="AE178" s="153"/>
      <c r="AF178" s="143"/>
      <c r="AG178" s="155"/>
      <c r="AH178" s="150" t="s">
        <v>37</v>
      </c>
      <c r="AI178" s="151" t="s">
        <v>76</v>
      </c>
      <c r="AJ178" s="151" t="s">
        <v>70</v>
      </c>
      <c r="AK178" s="151" t="s">
        <v>70</v>
      </c>
      <c r="AL178" s="151" t="s">
        <v>118</v>
      </c>
      <c r="AM178" s="151" t="s">
        <v>70</v>
      </c>
      <c r="AN178" s="151" t="s">
        <v>70</v>
      </c>
      <c r="AO178" s="151" t="s">
        <v>70</v>
      </c>
      <c r="AP178" s="152"/>
      <c r="AQ178" s="153"/>
      <c r="AR178" s="153"/>
      <c r="AS178" s="153"/>
      <c r="AT178" s="153"/>
      <c r="AU178" s="154"/>
      <c r="AV178" s="153" t="s">
        <v>41</v>
      </c>
      <c r="AW178" s="153" t="s">
        <v>41</v>
      </c>
      <c r="AX178" s="153" t="s">
        <v>41</v>
      </c>
      <c r="AY178" s="153" t="s">
        <v>73</v>
      </c>
      <c r="AZ178" s="153" t="s">
        <v>73</v>
      </c>
      <c r="BA178" s="154" t="s">
        <v>73</v>
      </c>
      <c r="BB178" s="152">
        <v>235957</v>
      </c>
      <c r="BC178" s="153">
        <v>235957</v>
      </c>
      <c r="BD178" s="153">
        <v>235957</v>
      </c>
      <c r="BE178" s="157">
        <v>215414</v>
      </c>
      <c r="BF178" s="157">
        <v>215737</v>
      </c>
      <c r="BG178" s="157"/>
      <c r="BH178" s="170"/>
      <c r="BI178" s="152" t="s">
        <v>920</v>
      </c>
      <c r="BJ178" s="153" t="s">
        <v>920</v>
      </c>
      <c r="BK178" s="153" t="s">
        <v>920</v>
      </c>
      <c r="BL178" s="153">
        <v>175081</v>
      </c>
      <c r="BM178" s="153">
        <v>187685</v>
      </c>
      <c r="BN178" s="154">
        <f>SUMIF(BI178:BM178,"&gt;0",BI178:BM178)</f>
        <v>362766</v>
      </c>
      <c r="BO178" s="156"/>
      <c r="BP178" s="148"/>
      <c r="BQ178" s="153"/>
      <c r="BR178" s="153"/>
      <c r="BS178" s="152"/>
      <c r="BT178" s="148"/>
      <c r="BU178" s="148"/>
      <c r="BV178" s="148"/>
      <c r="BW178" s="148"/>
      <c r="BX178" s="154">
        <f>SUM(BS178:BW178)</f>
        <v>0</v>
      </c>
      <c r="BY178" s="143"/>
      <c r="BZ178" s="143"/>
      <c r="CA178" s="143"/>
      <c r="CB178" s="143"/>
      <c r="CC178" s="143"/>
      <c r="CD178" s="143"/>
    </row>
    <row r="179" spans="1:82" ht="14.5">
      <c r="A179" s="143" t="s">
        <v>492</v>
      </c>
      <c r="B179" s="143" t="s">
        <v>1703</v>
      </c>
      <c r="C179" s="144" t="s">
        <v>1704</v>
      </c>
      <c r="D179" s="144" t="s">
        <v>1705</v>
      </c>
      <c r="E179" s="145" t="s">
        <v>1706</v>
      </c>
      <c r="F179" s="143" t="str">
        <f>SUBSTITUTE(E179," ","")</f>
        <v>63061583533</v>
      </c>
      <c r="G179" s="143" t="s">
        <v>1707</v>
      </c>
      <c r="H179" s="143" t="s">
        <v>74</v>
      </c>
      <c r="I179" s="143">
        <v>3840</v>
      </c>
      <c r="J179" s="143">
        <v>-38.179045000000002</v>
      </c>
      <c r="K179" s="143">
        <v>146.46236099999999</v>
      </c>
      <c r="L179" s="143" t="s">
        <v>292</v>
      </c>
      <c r="M179" s="143" t="s">
        <v>292</v>
      </c>
      <c r="N179" s="143" t="s">
        <v>292</v>
      </c>
      <c r="O179" s="143"/>
      <c r="P179" s="143"/>
      <c r="Q179" s="143" t="s">
        <v>204</v>
      </c>
      <c r="R179" s="143" t="s">
        <v>72</v>
      </c>
      <c r="S179" s="147"/>
      <c r="T179" s="143"/>
      <c r="U179" s="143"/>
      <c r="V179" s="143"/>
      <c r="W179" s="143"/>
      <c r="X179" s="143"/>
      <c r="Y179" s="143"/>
      <c r="Z179" s="143"/>
      <c r="AA179" s="143"/>
      <c r="AB179" s="143"/>
      <c r="AC179" s="143"/>
      <c r="AD179" s="153"/>
      <c r="AE179" s="153"/>
      <c r="AF179" s="143"/>
      <c r="AG179" s="155"/>
      <c r="AH179" s="150" t="s">
        <v>37</v>
      </c>
      <c r="AI179" s="151" t="s">
        <v>76</v>
      </c>
      <c r="AJ179" s="151" t="s">
        <v>70</v>
      </c>
      <c r="AK179" s="151" t="s">
        <v>70</v>
      </c>
      <c r="AL179" s="151" t="s">
        <v>118</v>
      </c>
      <c r="AM179" s="151" t="s">
        <v>70</v>
      </c>
      <c r="AN179" s="151" t="s">
        <v>70</v>
      </c>
      <c r="AO179" s="151" t="s">
        <v>70</v>
      </c>
      <c r="AP179" s="152"/>
      <c r="AQ179" s="153"/>
      <c r="AR179" s="153"/>
      <c r="AS179" s="153"/>
      <c r="AT179" s="153"/>
      <c r="AU179" s="154"/>
      <c r="AV179" s="153" t="s">
        <v>106</v>
      </c>
      <c r="AW179" s="153" t="s">
        <v>106</v>
      </c>
      <c r="AX179" s="153" t="s">
        <v>106</v>
      </c>
      <c r="AY179" s="153" t="s">
        <v>106</v>
      </c>
      <c r="AZ179" s="153" t="s">
        <v>106</v>
      </c>
      <c r="BA179" s="154" t="s">
        <v>114</v>
      </c>
      <c r="BB179" s="152">
        <v>406527</v>
      </c>
      <c r="BC179" s="153">
        <v>406527</v>
      </c>
      <c r="BD179" s="153">
        <v>406527</v>
      </c>
      <c r="BE179" s="153">
        <v>406527</v>
      </c>
      <c r="BF179" s="153">
        <v>406527</v>
      </c>
      <c r="BG179" s="157"/>
      <c r="BH179" s="155"/>
      <c r="BI179" s="152" t="s">
        <v>920</v>
      </c>
      <c r="BJ179" s="153" t="s">
        <v>920</v>
      </c>
      <c r="BK179" s="153" t="s">
        <v>920</v>
      </c>
      <c r="BL179" s="153">
        <v>328984</v>
      </c>
      <c r="BM179" s="153">
        <v>320852</v>
      </c>
      <c r="BN179" s="154">
        <f>SUMIF(BI179:BM179,"&gt;0",BI179:BM179)</f>
        <v>649836</v>
      </c>
      <c r="BO179" s="156"/>
      <c r="BP179" s="148"/>
      <c r="BQ179" s="153"/>
      <c r="BR179" s="153"/>
      <c r="BS179" s="152"/>
      <c r="BT179" s="148"/>
      <c r="BU179" s="148"/>
      <c r="BV179" s="148"/>
      <c r="BW179" s="148"/>
      <c r="BX179" s="154">
        <f>SUM(BS179:BW179)</f>
        <v>0</v>
      </c>
      <c r="BY179" s="143"/>
      <c r="BZ179" s="143"/>
      <c r="CA179" s="143"/>
      <c r="CB179" s="143"/>
      <c r="CC179" s="143"/>
      <c r="CD179" s="143"/>
    </row>
    <row r="180" spans="1:82" ht="14.5">
      <c r="A180" s="143" t="s">
        <v>482</v>
      </c>
      <c r="B180" s="143" t="s">
        <v>1661</v>
      </c>
      <c r="C180" s="144" t="s">
        <v>1662</v>
      </c>
      <c r="D180" s="144" t="s">
        <v>1663</v>
      </c>
      <c r="E180" s="145" t="s">
        <v>1664</v>
      </c>
      <c r="F180" s="143" t="str">
        <f>SUBSTITUTE(E180," ","")</f>
        <v>33609551671</v>
      </c>
      <c r="G180" s="143" t="s">
        <v>1665</v>
      </c>
      <c r="H180" s="143" t="s">
        <v>42</v>
      </c>
      <c r="I180" s="143">
        <v>800</v>
      </c>
      <c r="J180" s="143">
        <v>-10.614444000000001</v>
      </c>
      <c r="K180" s="143">
        <v>125.985556</v>
      </c>
      <c r="L180" s="143" t="s">
        <v>292</v>
      </c>
      <c r="M180" s="143" t="s">
        <v>292</v>
      </c>
      <c r="N180" s="143" t="s">
        <v>292</v>
      </c>
      <c r="O180" s="143"/>
      <c r="P180" s="143"/>
      <c r="Q180" s="143" t="s">
        <v>121</v>
      </c>
      <c r="R180" s="143" t="s">
        <v>58</v>
      </c>
      <c r="S180" s="147"/>
      <c r="T180" s="143"/>
      <c r="U180" s="143"/>
      <c r="V180" s="143"/>
      <c r="W180" s="143"/>
      <c r="X180" s="143"/>
      <c r="Y180" s="143"/>
      <c r="Z180" s="143"/>
      <c r="AA180" s="143"/>
      <c r="AB180" s="143"/>
      <c r="AC180" s="143"/>
      <c r="AD180" s="153"/>
      <c r="AE180" s="153"/>
      <c r="AF180" s="143"/>
      <c r="AG180" s="155"/>
      <c r="AH180" s="147" t="s">
        <v>26</v>
      </c>
      <c r="AI180" s="151" t="s">
        <v>76</v>
      </c>
      <c r="AJ180" s="146"/>
      <c r="AK180" s="146" t="s">
        <v>292</v>
      </c>
      <c r="AL180" s="146" t="s">
        <v>292</v>
      </c>
      <c r="AM180" s="143"/>
      <c r="AN180" s="143"/>
      <c r="AO180" s="143"/>
      <c r="AP180" s="152"/>
      <c r="AQ180" s="153"/>
      <c r="AR180" s="153"/>
      <c r="AS180" s="153"/>
      <c r="AT180" s="153"/>
      <c r="AU180" s="154"/>
      <c r="AV180" s="153" t="s">
        <v>41</v>
      </c>
      <c r="AW180" s="153" t="s">
        <v>41</v>
      </c>
      <c r="AX180" s="153" t="s">
        <v>41</v>
      </c>
      <c r="AY180" s="153" t="s">
        <v>41</v>
      </c>
      <c r="AZ180" s="153" t="s">
        <v>114</v>
      </c>
      <c r="BA180" s="154" t="s">
        <v>114</v>
      </c>
      <c r="BB180" s="152">
        <v>154594</v>
      </c>
      <c r="BC180" s="153">
        <v>193243</v>
      </c>
      <c r="BD180" s="153">
        <v>193243</v>
      </c>
      <c r="BE180" s="157">
        <v>193243</v>
      </c>
      <c r="BF180" s="157" t="s">
        <v>114</v>
      </c>
      <c r="BG180" s="157"/>
      <c r="BH180" s="155" t="s">
        <v>1666</v>
      </c>
      <c r="BI180" s="152">
        <v>170067</v>
      </c>
      <c r="BJ180" s="153">
        <v>151241</v>
      </c>
      <c r="BK180" s="153">
        <v>142797</v>
      </c>
      <c r="BL180" s="153" t="s">
        <v>921</v>
      </c>
      <c r="BM180" s="153" t="s">
        <v>920</v>
      </c>
      <c r="BN180" s="154">
        <f>SUMIF(BI180:BM180,"&gt;0",BI180:BM180)</f>
        <v>464105</v>
      </c>
      <c r="BO180" s="156"/>
      <c r="BP180" s="148"/>
      <c r="BQ180" s="153"/>
      <c r="BR180" s="153"/>
      <c r="BS180" s="152"/>
      <c r="BT180" s="148"/>
      <c r="BU180" s="148"/>
      <c r="BV180" s="148"/>
      <c r="BW180" s="148"/>
      <c r="BX180" s="154">
        <f>SUM(BS180:BW180)</f>
        <v>0</v>
      </c>
      <c r="BY180" s="143"/>
      <c r="BZ180" s="143"/>
      <c r="CA180" s="143"/>
      <c r="CB180" s="143"/>
      <c r="CC180" s="143"/>
      <c r="CD180" s="143"/>
    </row>
    <row r="181" spans="1:82" ht="14.5">
      <c r="A181" s="143" t="s">
        <v>479</v>
      </c>
      <c r="B181" s="143" t="s">
        <v>1643</v>
      </c>
      <c r="C181" s="144" t="s">
        <v>764</v>
      </c>
      <c r="D181" s="144" t="s">
        <v>1644</v>
      </c>
      <c r="E181" s="145" t="s">
        <v>765</v>
      </c>
      <c r="F181" s="143" t="str">
        <f>SUBSTITUTE(E181," ","")</f>
        <v>84009477132</v>
      </c>
      <c r="G181" s="143" t="s">
        <v>1645</v>
      </c>
      <c r="H181" s="143" t="s">
        <v>67</v>
      </c>
      <c r="I181" s="143">
        <v>7140</v>
      </c>
      <c r="J181" s="143">
        <v>-42.779550999999998</v>
      </c>
      <c r="K181" s="143">
        <v>147.10398699999999</v>
      </c>
      <c r="L181" s="143" t="s">
        <v>292</v>
      </c>
      <c r="M181" s="143" t="s">
        <v>292</v>
      </c>
      <c r="N181" s="143" t="s">
        <v>292</v>
      </c>
      <c r="O181" s="143"/>
      <c r="P181" s="143"/>
      <c r="Q181" s="143" t="s">
        <v>204</v>
      </c>
      <c r="R181" s="143" t="s">
        <v>72</v>
      </c>
      <c r="S181" s="147" t="s">
        <v>612</v>
      </c>
      <c r="T181" s="143">
        <v>1</v>
      </c>
      <c r="U181" s="143" t="s">
        <v>1646</v>
      </c>
      <c r="V181" s="143" t="s">
        <v>1647</v>
      </c>
      <c r="W181" s="143" t="s">
        <v>1370</v>
      </c>
      <c r="X181" s="143" t="s">
        <v>1125</v>
      </c>
      <c r="Y181" s="143" t="s">
        <v>1648</v>
      </c>
      <c r="Z181" s="143" t="s">
        <v>1573</v>
      </c>
      <c r="AA181" s="143" t="s">
        <v>1649</v>
      </c>
      <c r="AB181" s="153">
        <v>90875</v>
      </c>
      <c r="AC181" s="153" t="s">
        <v>1650</v>
      </c>
      <c r="AD181" s="153">
        <v>250000</v>
      </c>
      <c r="AE181" s="153">
        <v>90875</v>
      </c>
      <c r="AF181" s="143" t="s">
        <v>1045</v>
      </c>
      <c r="AG181" s="155"/>
      <c r="AH181" s="150" t="s">
        <v>37</v>
      </c>
      <c r="AI181" s="151" t="s">
        <v>76</v>
      </c>
      <c r="AJ181" s="151" t="s">
        <v>70</v>
      </c>
      <c r="AK181" s="151" t="s">
        <v>70</v>
      </c>
      <c r="AL181" s="151" t="s">
        <v>118</v>
      </c>
      <c r="AM181" s="151" t="s">
        <v>70</v>
      </c>
      <c r="AN181" s="151" t="s">
        <v>70</v>
      </c>
      <c r="AO181" s="151" t="s">
        <v>70</v>
      </c>
      <c r="AP181" s="152"/>
      <c r="AQ181" s="153"/>
      <c r="AR181" s="153"/>
      <c r="AS181" s="153"/>
      <c r="AT181" s="153"/>
      <c r="AU181" s="154"/>
      <c r="AV181" s="153" t="s">
        <v>1028</v>
      </c>
      <c r="AW181" s="153" t="s">
        <v>106</v>
      </c>
      <c r="AX181" s="153" t="s">
        <v>106</v>
      </c>
      <c r="AY181" s="153" t="s">
        <v>106</v>
      </c>
      <c r="AZ181" s="153" t="s">
        <v>73</v>
      </c>
      <c r="BA181" s="154" t="s">
        <v>73</v>
      </c>
      <c r="BB181" s="152">
        <v>210651</v>
      </c>
      <c r="BC181" s="153">
        <v>210651</v>
      </c>
      <c r="BD181" s="153">
        <v>210651</v>
      </c>
      <c r="BE181" s="157">
        <v>210651</v>
      </c>
      <c r="BF181" s="157">
        <v>183056</v>
      </c>
      <c r="BG181" s="157"/>
      <c r="BH181" s="155"/>
      <c r="BI181" s="152">
        <v>202010</v>
      </c>
      <c r="BJ181" s="153">
        <v>191551</v>
      </c>
      <c r="BK181" s="153">
        <v>180520</v>
      </c>
      <c r="BL181" s="153">
        <v>164195</v>
      </c>
      <c r="BM181" s="153">
        <v>160293</v>
      </c>
      <c r="BN181" s="154">
        <f>SUMIF(BI181:BM181,"&gt;0",BI181:BM181)</f>
        <v>898569</v>
      </c>
      <c r="BO181" s="156"/>
      <c r="BP181" s="148"/>
      <c r="BQ181" s="153"/>
      <c r="BR181" s="153"/>
      <c r="BS181" s="152"/>
      <c r="BT181" s="148"/>
      <c r="BU181" s="148"/>
      <c r="BV181" s="148"/>
      <c r="BW181" s="148"/>
      <c r="BX181" s="154">
        <f>SUM(BS181:BW181)</f>
        <v>0</v>
      </c>
      <c r="BY181" s="143"/>
      <c r="BZ181" s="143"/>
      <c r="CA181" s="143"/>
      <c r="CB181" s="143"/>
      <c r="CC181" s="143"/>
      <c r="CD181" s="143"/>
    </row>
    <row r="182" spans="1:82" ht="14.5">
      <c r="A182" s="143" t="s">
        <v>385</v>
      </c>
      <c r="B182" s="143" t="s">
        <v>1333</v>
      </c>
      <c r="C182" s="144" t="s">
        <v>673</v>
      </c>
      <c r="D182" s="144" t="s">
        <v>1187</v>
      </c>
      <c r="E182" s="145" t="s">
        <v>674</v>
      </c>
      <c r="F182" s="143" t="str">
        <f>SUBSTITUTE(E182," ","")</f>
        <v>97009377619</v>
      </c>
      <c r="G182" s="143" t="s">
        <v>1334</v>
      </c>
      <c r="H182" s="143" t="s">
        <v>81</v>
      </c>
      <c r="I182" s="143">
        <v>6431</v>
      </c>
      <c r="J182" s="143">
        <v>-30.767499999999998</v>
      </c>
      <c r="K182" s="143">
        <v>121.508056</v>
      </c>
      <c r="L182" s="143">
        <v>1893</v>
      </c>
      <c r="M182" s="143">
        <v>129</v>
      </c>
      <c r="N182" s="143">
        <v>2035</v>
      </c>
      <c r="O182" s="143"/>
      <c r="P182" s="143"/>
      <c r="Q182" s="143" t="s">
        <v>123</v>
      </c>
      <c r="R182" s="143" t="s">
        <v>79</v>
      </c>
      <c r="S182" s="147"/>
      <c r="T182" s="143"/>
      <c r="U182" s="143"/>
      <c r="V182" s="143"/>
      <c r="W182" s="143"/>
      <c r="X182" s="143"/>
      <c r="Y182" s="143"/>
      <c r="Z182" s="143"/>
      <c r="AA182" s="143"/>
      <c r="AB182" s="143"/>
      <c r="AC182" s="143"/>
      <c r="AD182" s="153"/>
      <c r="AE182" s="153"/>
      <c r="AF182" s="143"/>
      <c r="AG182" s="155"/>
      <c r="AH182" s="150" t="s">
        <v>37</v>
      </c>
      <c r="AI182" s="151" t="s">
        <v>76</v>
      </c>
      <c r="AJ182" s="151" t="s">
        <v>70</v>
      </c>
      <c r="AK182" s="151" t="s">
        <v>70</v>
      </c>
      <c r="AL182" s="151" t="s">
        <v>118</v>
      </c>
      <c r="AM182" s="151" t="s">
        <v>70</v>
      </c>
      <c r="AN182" s="151" t="s">
        <v>70</v>
      </c>
      <c r="AO182" s="151" t="s">
        <v>70</v>
      </c>
      <c r="AP182" s="152"/>
      <c r="AQ182" s="153"/>
      <c r="AR182" s="153"/>
      <c r="AS182" s="153"/>
      <c r="AT182" s="153"/>
      <c r="AU182" s="154"/>
      <c r="AV182" s="153" t="s">
        <v>1028</v>
      </c>
      <c r="AW182" s="153" t="s">
        <v>106</v>
      </c>
      <c r="AX182" s="153" t="s">
        <v>106</v>
      </c>
      <c r="AY182" s="153" t="s">
        <v>106</v>
      </c>
      <c r="AZ182" s="153" t="s">
        <v>73</v>
      </c>
      <c r="BA182" s="154" t="s">
        <v>73</v>
      </c>
      <c r="BB182" s="152">
        <v>238394</v>
      </c>
      <c r="BC182" s="153">
        <v>238394</v>
      </c>
      <c r="BD182" s="153">
        <v>238394</v>
      </c>
      <c r="BE182" s="157">
        <v>238394</v>
      </c>
      <c r="BF182" s="157">
        <v>242659</v>
      </c>
      <c r="BG182" s="157"/>
      <c r="BH182" s="155"/>
      <c r="BI182" s="152">
        <v>226876</v>
      </c>
      <c r="BJ182" s="153">
        <v>193366</v>
      </c>
      <c r="BK182" s="153" t="s">
        <v>920</v>
      </c>
      <c r="BL182" s="153">
        <v>137956</v>
      </c>
      <c r="BM182" s="153">
        <v>155548</v>
      </c>
      <c r="BN182" s="154">
        <f>SUMIF(BI182:BM182,"&gt;0",BI182:BM182)</f>
        <v>713746</v>
      </c>
      <c r="BO182" s="156"/>
      <c r="BP182" s="148"/>
      <c r="BQ182" s="153"/>
      <c r="BR182" s="153"/>
      <c r="BS182" s="152"/>
      <c r="BT182" s="148"/>
      <c r="BU182" s="148"/>
      <c r="BV182" s="148"/>
      <c r="BW182" s="148"/>
      <c r="BX182" s="154">
        <f>SUM(BS182:BW182)</f>
        <v>0</v>
      </c>
      <c r="BY182" s="143"/>
      <c r="BZ182" s="143"/>
      <c r="CA182" s="143"/>
      <c r="CB182" s="143"/>
      <c r="CC182" s="143"/>
      <c r="CD182" s="259"/>
    </row>
    <row r="183" spans="1:82" ht="14.5">
      <c r="A183" s="143" t="s">
        <v>419</v>
      </c>
      <c r="B183" s="143" t="s">
        <v>1449</v>
      </c>
      <c r="C183" s="144" t="s">
        <v>709</v>
      </c>
      <c r="D183" s="144" t="s">
        <v>1187</v>
      </c>
      <c r="E183" s="145" t="s">
        <v>710</v>
      </c>
      <c r="F183" s="143" t="str">
        <f>SUBSTITUTE(E183," ","")</f>
        <v>43092832892</v>
      </c>
      <c r="G183" s="143" t="s">
        <v>1450</v>
      </c>
      <c r="H183" s="143" t="s">
        <v>81</v>
      </c>
      <c r="I183" s="143">
        <v>6646</v>
      </c>
      <c r="J183" s="143">
        <v>-26.344443999999999</v>
      </c>
      <c r="K183" s="143">
        <v>120.629722</v>
      </c>
      <c r="L183" s="143">
        <v>1995</v>
      </c>
      <c r="M183" s="143">
        <v>27</v>
      </c>
      <c r="N183" s="143">
        <v>2028</v>
      </c>
      <c r="O183" s="143"/>
      <c r="P183" s="143"/>
      <c r="Q183" s="143" t="s">
        <v>123</v>
      </c>
      <c r="R183" s="143" t="s">
        <v>79</v>
      </c>
      <c r="S183" s="147"/>
      <c r="T183" s="143"/>
      <c r="U183" s="143"/>
      <c r="V183" s="143"/>
      <c r="W183" s="143"/>
      <c r="X183" s="143"/>
      <c r="Y183" s="143"/>
      <c r="Z183" s="143"/>
      <c r="AA183" s="143"/>
      <c r="AB183" s="143"/>
      <c r="AC183" s="143"/>
      <c r="AD183" s="153"/>
      <c r="AE183" s="153"/>
      <c r="AF183" s="143"/>
      <c r="AG183" s="155"/>
      <c r="AH183" s="150" t="s">
        <v>37</v>
      </c>
      <c r="AI183" s="151" t="s">
        <v>76</v>
      </c>
      <c r="AJ183" s="151" t="s">
        <v>70</v>
      </c>
      <c r="AK183" s="151" t="s">
        <v>70</v>
      </c>
      <c r="AL183" s="151" t="s">
        <v>118</v>
      </c>
      <c r="AM183" s="151" t="s">
        <v>70</v>
      </c>
      <c r="AN183" s="151" t="s">
        <v>70</v>
      </c>
      <c r="AO183" s="151" t="s">
        <v>70</v>
      </c>
      <c r="AP183" s="152"/>
      <c r="AQ183" s="153"/>
      <c r="AR183" s="153"/>
      <c r="AS183" s="153"/>
      <c r="AT183" s="153"/>
      <c r="AU183" s="154"/>
      <c r="AV183" s="153" t="s">
        <v>41</v>
      </c>
      <c r="AW183" s="153" t="s">
        <v>41</v>
      </c>
      <c r="AX183" s="153" t="s">
        <v>41</v>
      </c>
      <c r="AY183" s="153" t="s">
        <v>73</v>
      </c>
      <c r="AZ183" s="153" t="s">
        <v>73</v>
      </c>
      <c r="BA183" s="154" t="s">
        <v>73</v>
      </c>
      <c r="BB183" s="152">
        <v>124432</v>
      </c>
      <c r="BC183" s="153">
        <v>124432</v>
      </c>
      <c r="BD183" s="153">
        <v>124432</v>
      </c>
      <c r="BE183" s="157">
        <v>173116</v>
      </c>
      <c r="BF183" s="157">
        <v>173116</v>
      </c>
      <c r="BG183" s="157"/>
      <c r="BH183" s="155"/>
      <c r="BI183" s="152">
        <v>101563</v>
      </c>
      <c r="BJ183" s="153">
        <v>101749</v>
      </c>
      <c r="BK183" s="153">
        <v>107881</v>
      </c>
      <c r="BL183" s="153">
        <v>116035</v>
      </c>
      <c r="BM183" s="153">
        <v>127944</v>
      </c>
      <c r="BN183" s="154">
        <f>SUMIF(BI183:BM183,"&gt;0",BI183:BM183)</f>
        <v>555172</v>
      </c>
      <c r="BO183" s="156"/>
      <c r="BP183" s="148"/>
      <c r="BQ183" s="153"/>
      <c r="BR183" s="153"/>
      <c r="BS183" s="152"/>
      <c r="BT183" s="148"/>
      <c r="BU183" s="148"/>
      <c r="BV183" s="148"/>
      <c r="BW183" s="148"/>
      <c r="BX183" s="154">
        <f>SUM(BS183:BW183)</f>
        <v>0</v>
      </c>
      <c r="BY183" s="143"/>
      <c r="BZ183" s="143"/>
      <c r="CA183" s="143"/>
      <c r="CB183" s="143"/>
      <c r="CC183" s="143"/>
      <c r="CD183" s="143"/>
    </row>
    <row r="184" spans="1:82" ht="14.5">
      <c r="A184" s="143" t="s">
        <v>337</v>
      </c>
      <c r="B184" s="143" t="s">
        <v>1186</v>
      </c>
      <c r="C184" s="144" t="s">
        <v>643</v>
      </c>
      <c r="D184" s="144" t="s">
        <v>1187</v>
      </c>
      <c r="E184" s="145" t="s">
        <v>644</v>
      </c>
      <c r="F184" s="143" t="str">
        <f>SUBSTITUTE(E184," ","")</f>
        <v>14116649122</v>
      </c>
      <c r="G184" s="143" t="s">
        <v>1188</v>
      </c>
      <c r="H184" s="143" t="s">
        <v>81</v>
      </c>
      <c r="I184" s="143">
        <v>6434</v>
      </c>
      <c r="J184" s="143">
        <v>-30.154129999999999</v>
      </c>
      <c r="K184" s="143">
        <v>122.35209999999999</v>
      </c>
      <c r="L184" s="143">
        <v>2010</v>
      </c>
      <c r="M184" s="143">
        <v>12</v>
      </c>
      <c r="N184" s="143">
        <v>2027</v>
      </c>
      <c r="O184" s="143"/>
      <c r="P184" s="143"/>
      <c r="Q184" s="143" t="s">
        <v>123</v>
      </c>
      <c r="R184" s="143" t="s">
        <v>79</v>
      </c>
      <c r="S184" s="147"/>
      <c r="T184" s="143"/>
      <c r="U184" s="143"/>
      <c r="V184" s="143"/>
      <c r="W184" s="143"/>
      <c r="X184" s="143"/>
      <c r="Y184" s="143"/>
      <c r="Z184" s="143"/>
      <c r="AA184" s="143"/>
      <c r="AB184" s="143"/>
      <c r="AC184" s="143"/>
      <c r="AD184" s="153"/>
      <c r="AE184" s="153"/>
      <c r="AF184" s="143"/>
      <c r="AG184" s="155"/>
      <c r="AH184" s="150" t="s">
        <v>37</v>
      </c>
      <c r="AI184" s="151" t="s">
        <v>76</v>
      </c>
      <c r="AJ184" s="151" t="s">
        <v>70</v>
      </c>
      <c r="AK184" s="151" t="s">
        <v>70</v>
      </c>
      <c r="AL184" s="151" t="s">
        <v>118</v>
      </c>
      <c r="AM184" s="151" t="s">
        <v>70</v>
      </c>
      <c r="AN184" s="151" t="s">
        <v>70</v>
      </c>
      <c r="AO184" s="151" t="s">
        <v>70</v>
      </c>
      <c r="AP184" s="152"/>
      <c r="AQ184" s="153"/>
      <c r="AR184" s="153"/>
      <c r="AS184" s="153"/>
      <c r="AT184" s="153"/>
      <c r="AU184" s="154"/>
      <c r="AV184" s="153" t="s">
        <v>114</v>
      </c>
      <c r="AW184" s="153" t="s">
        <v>114</v>
      </c>
      <c r="AX184" s="153" t="s">
        <v>114</v>
      </c>
      <c r="AY184" s="153" t="s">
        <v>114</v>
      </c>
      <c r="AZ184" s="153" t="s">
        <v>73</v>
      </c>
      <c r="BA184" s="154" t="s">
        <v>73</v>
      </c>
      <c r="BB184" s="166" t="s">
        <v>114</v>
      </c>
      <c r="BC184" s="157" t="s">
        <v>114</v>
      </c>
      <c r="BD184" s="157" t="s">
        <v>114</v>
      </c>
      <c r="BE184" s="157" t="s">
        <v>114</v>
      </c>
      <c r="BF184" s="157">
        <v>108460</v>
      </c>
      <c r="BG184" s="157"/>
      <c r="BH184" s="155"/>
      <c r="BI184" s="152" t="s">
        <v>920</v>
      </c>
      <c r="BJ184" s="153" t="s">
        <v>920</v>
      </c>
      <c r="BK184" s="153" t="s">
        <v>920</v>
      </c>
      <c r="BL184" s="153" t="s">
        <v>920</v>
      </c>
      <c r="BM184" s="153">
        <v>108388</v>
      </c>
      <c r="BN184" s="154">
        <f>SUMIF(BI184:BM184,"&gt;0",BI184:BM184)</f>
        <v>108388</v>
      </c>
      <c r="BO184" s="156"/>
      <c r="BP184" s="148"/>
      <c r="BQ184" s="153"/>
      <c r="BR184" s="153"/>
      <c r="BS184" s="152"/>
      <c r="BT184" s="148"/>
      <c r="BU184" s="148"/>
      <c r="BV184" s="148"/>
      <c r="BW184" s="148"/>
      <c r="BX184" s="154">
        <f>SUM(BS184:BW184)</f>
        <v>0</v>
      </c>
      <c r="BY184" s="143"/>
      <c r="BZ184" s="143"/>
      <c r="CA184" s="143"/>
      <c r="CB184" s="143"/>
      <c r="CC184" s="143"/>
      <c r="CD184" s="259"/>
    </row>
    <row r="185" spans="1:82" ht="14.5">
      <c r="A185" s="143" t="s">
        <v>565</v>
      </c>
      <c r="B185" s="143" t="s">
        <v>1960</v>
      </c>
      <c r="C185" s="144" t="s">
        <v>825</v>
      </c>
      <c r="D185" s="144" t="s">
        <v>1187</v>
      </c>
      <c r="E185" s="145" t="s">
        <v>826</v>
      </c>
      <c r="F185" s="143" t="str">
        <f>SUBSTITUTE(E185," ","")</f>
        <v>15107154727</v>
      </c>
      <c r="G185" s="143" t="s">
        <v>1961</v>
      </c>
      <c r="H185" s="143" t="s">
        <v>81</v>
      </c>
      <c r="I185" s="143">
        <v>6437</v>
      </c>
      <c r="J185" s="143">
        <v>-28.192778000000001</v>
      </c>
      <c r="K185" s="143">
        <v>121.006111</v>
      </c>
      <c r="L185" s="143" t="s">
        <v>292</v>
      </c>
      <c r="M185" s="143" t="s">
        <v>292</v>
      </c>
      <c r="N185" s="143" t="s">
        <v>292</v>
      </c>
      <c r="O185" s="143"/>
      <c r="P185" s="143"/>
      <c r="Q185" s="143" t="s">
        <v>123</v>
      </c>
      <c r="R185" s="143" t="s">
        <v>79</v>
      </c>
      <c r="S185" s="147"/>
      <c r="T185" s="143"/>
      <c r="U185" s="143"/>
      <c r="V185" s="143"/>
      <c r="W185" s="143"/>
      <c r="X185" s="143"/>
      <c r="Y185" s="143"/>
      <c r="Z185" s="143"/>
      <c r="AA185" s="143"/>
      <c r="AB185" s="143"/>
      <c r="AC185" s="143"/>
      <c r="AD185" s="153"/>
      <c r="AE185" s="153"/>
      <c r="AF185" s="143"/>
      <c r="AG185" s="155"/>
      <c r="AH185" s="150" t="s">
        <v>37</v>
      </c>
      <c r="AI185" s="151" t="s">
        <v>76</v>
      </c>
      <c r="AJ185" s="151" t="s">
        <v>70</v>
      </c>
      <c r="AK185" s="151" t="s">
        <v>70</v>
      </c>
      <c r="AL185" s="151" t="s">
        <v>118</v>
      </c>
      <c r="AM185" s="151" t="s">
        <v>70</v>
      </c>
      <c r="AN185" s="151" t="s">
        <v>70</v>
      </c>
      <c r="AO185" s="151" t="s">
        <v>70</v>
      </c>
      <c r="AP185" s="152"/>
      <c r="AQ185" s="153"/>
      <c r="AR185" s="153"/>
      <c r="AS185" s="153"/>
      <c r="AT185" s="153"/>
      <c r="AU185" s="154"/>
      <c r="AV185" s="153" t="s">
        <v>114</v>
      </c>
      <c r="AW185" s="153" t="s">
        <v>114</v>
      </c>
      <c r="AX185" s="153" t="s">
        <v>114</v>
      </c>
      <c r="AY185" s="153" t="s">
        <v>114</v>
      </c>
      <c r="AZ185" s="153" t="s">
        <v>73</v>
      </c>
      <c r="BA185" s="154" t="s">
        <v>73</v>
      </c>
      <c r="BB185" s="152" t="s">
        <v>114</v>
      </c>
      <c r="BC185" s="143" t="s">
        <v>114</v>
      </c>
      <c r="BD185" s="143" t="s">
        <v>114</v>
      </c>
      <c r="BE185" s="157" t="s">
        <v>114</v>
      </c>
      <c r="BF185" s="157">
        <v>213075</v>
      </c>
      <c r="BG185" s="157"/>
      <c r="BH185" s="155"/>
      <c r="BI185" s="152" t="s">
        <v>920</v>
      </c>
      <c r="BJ185" s="153" t="s">
        <v>920</v>
      </c>
      <c r="BK185" s="153" t="s">
        <v>920</v>
      </c>
      <c r="BL185" s="153" t="s">
        <v>920</v>
      </c>
      <c r="BM185" s="153" t="s">
        <v>920</v>
      </c>
      <c r="BN185" s="154">
        <f>SUMIF(BI185:BM185,"&gt;0",BI185:BM185)</f>
        <v>0</v>
      </c>
      <c r="BO185" s="156"/>
      <c r="BP185" s="148"/>
      <c r="BQ185" s="153"/>
      <c r="BR185" s="153"/>
      <c r="BS185" s="152"/>
      <c r="BT185" s="148"/>
      <c r="BU185" s="148"/>
      <c r="BV185" s="148"/>
      <c r="BW185" s="148"/>
      <c r="BX185" s="154">
        <f>SUM(BS185:BW185)</f>
        <v>0</v>
      </c>
      <c r="BY185" s="143"/>
      <c r="BZ185" s="143"/>
      <c r="CA185" s="143"/>
      <c r="CB185" s="143"/>
      <c r="CC185" s="143"/>
      <c r="CD185" s="143"/>
    </row>
    <row r="186" spans="1:82" ht="14.5">
      <c r="A186" s="143" t="s">
        <v>557</v>
      </c>
      <c r="B186" s="143" t="s">
        <v>1926</v>
      </c>
      <c r="C186" s="144" t="s">
        <v>1927</v>
      </c>
      <c r="D186" s="144" t="s">
        <v>1928</v>
      </c>
      <c r="E186" s="145" t="s">
        <v>1929</v>
      </c>
      <c r="F186" s="143" t="str">
        <f>SUBSTITUTE(E186," ","")</f>
        <v>51750635629</v>
      </c>
      <c r="G186" s="143" t="s">
        <v>292</v>
      </c>
      <c r="H186" s="143" t="s">
        <v>292</v>
      </c>
      <c r="I186" s="143" t="s">
        <v>292</v>
      </c>
      <c r="J186" s="143" t="s">
        <v>292</v>
      </c>
      <c r="K186" s="143" t="s">
        <v>292</v>
      </c>
      <c r="L186" s="143" t="s">
        <v>292</v>
      </c>
      <c r="M186" s="143" t="s">
        <v>292</v>
      </c>
      <c r="N186" s="143" t="s">
        <v>292</v>
      </c>
      <c r="O186" s="143"/>
      <c r="P186" s="143"/>
      <c r="Q186" s="143" t="s">
        <v>281</v>
      </c>
      <c r="R186" s="143" t="s">
        <v>79</v>
      </c>
      <c r="S186" s="147"/>
      <c r="T186" s="143"/>
      <c r="U186" s="143"/>
      <c r="V186" s="143"/>
      <c r="W186" s="143"/>
      <c r="X186" s="143"/>
      <c r="Y186" s="143"/>
      <c r="Z186" s="143"/>
      <c r="AA186" s="143"/>
      <c r="AB186" s="143"/>
      <c r="AC186" s="143"/>
      <c r="AD186" s="153"/>
      <c r="AE186" s="153"/>
      <c r="AF186" s="143"/>
      <c r="AG186" s="155"/>
      <c r="AH186" s="150" t="s">
        <v>37</v>
      </c>
      <c r="AI186" s="151" t="s">
        <v>76</v>
      </c>
      <c r="AJ186" s="151" t="s">
        <v>70</v>
      </c>
      <c r="AK186" s="151" t="s">
        <v>70</v>
      </c>
      <c r="AL186" s="151" t="s">
        <v>118</v>
      </c>
      <c r="AM186" s="151" t="s">
        <v>70</v>
      </c>
      <c r="AN186" s="151" t="s">
        <v>70</v>
      </c>
      <c r="AO186" s="151" t="s">
        <v>70</v>
      </c>
      <c r="AP186" s="152" t="s">
        <v>26</v>
      </c>
      <c r="AQ186" s="153" t="s">
        <v>26</v>
      </c>
      <c r="AR186" s="160" t="str">
        <f>IF(BF186&gt;(BB186*1.1),"yes","no")</f>
        <v>no</v>
      </c>
      <c r="AS186" s="160" t="str">
        <f>IF(BL186&gt;(BI186*1.1),"yes","no")</f>
        <v>no</v>
      </c>
      <c r="AT186" s="160" t="str">
        <f>IF(BL186&gt;(BI186*1.1),"yes","no")</f>
        <v>no</v>
      </c>
      <c r="AU186" s="154">
        <v>0</v>
      </c>
      <c r="AV186" s="153" t="s">
        <v>108</v>
      </c>
      <c r="AW186" s="153" t="s">
        <v>108</v>
      </c>
      <c r="AX186" s="153" t="s">
        <v>108</v>
      </c>
      <c r="AY186" s="153" t="s">
        <v>106</v>
      </c>
      <c r="AZ186" s="153" t="s">
        <v>106</v>
      </c>
      <c r="BA186" s="154" t="s">
        <v>114</v>
      </c>
      <c r="BB186" s="152">
        <v>159748</v>
      </c>
      <c r="BC186" s="153">
        <v>159748</v>
      </c>
      <c r="BD186" s="153">
        <v>159748</v>
      </c>
      <c r="BE186" s="157">
        <v>159748</v>
      </c>
      <c r="BF186" s="157">
        <v>159748</v>
      </c>
      <c r="BG186" s="157"/>
      <c r="BH186" s="155"/>
      <c r="BI186" s="152">
        <v>167690</v>
      </c>
      <c r="BJ186" s="153">
        <v>141046</v>
      </c>
      <c r="BK186" s="153">
        <v>112221</v>
      </c>
      <c r="BL186" s="153">
        <v>106195</v>
      </c>
      <c r="BM186" s="153" t="s">
        <v>920</v>
      </c>
      <c r="BN186" s="154">
        <f>SUMIF(BI186:BM186,"&gt;0",BI186:BM186)</f>
        <v>527152</v>
      </c>
      <c r="BO186" s="156"/>
      <c r="BP186" s="148"/>
      <c r="BQ186" s="153"/>
      <c r="BR186" s="153"/>
      <c r="BS186" s="152"/>
      <c r="BT186" s="148"/>
      <c r="BU186" s="148"/>
      <c r="BV186" s="148"/>
      <c r="BW186" s="148"/>
      <c r="BX186" s="154">
        <f>SUM(BS186:BW186)</f>
        <v>0</v>
      </c>
      <c r="BY186" s="143"/>
      <c r="BZ186" s="143"/>
      <c r="CA186" s="143"/>
      <c r="CB186" s="143"/>
      <c r="CC186" s="143"/>
      <c r="CD186" s="143"/>
    </row>
    <row r="187" spans="1:82" ht="14.5">
      <c r="A187" s="143" t="s">
        <v>485</v>
      </c>
      <c r="B187" s="143" t="s">
        <v>1672</v>
      </c>
      <c r="C187" s="144" t="s">
        <v>1673</v>
      </c>
      <c r="D187" s="144" t="s">
        <v>1674</v>
      </c>
      <c r="E187" s="145" t="s">
        <v>773</v>
      </c>
      <c r="F187" s="143" t="str">
        <f>SUBSTITUTE(E187," ","")</f>
        <v>31008046428</v>
      </c>
      <c r="G187" s="143" t="s">
        <v>1675</v>
      </c>
      <c r="H187" s="143" t="s">
        <v>67</v>
      </c>
      <c r="I187" s="143">
        <v>7009</v>
      </c>
      <c r="J187" s="143">
        <v>-42.832692999999999</v>
      </c>
      <c r="K187" s="143">
        <v>147.31680399999999</v>
      </c>
      <c r="L187" s="143">
        <v>1889</v>
      </c>
      <c r="M187" s="143">
        <v>133</v>
      </c>
      <c r="N187" s="143">
        <v>0</v>
      </c>
      <c r="O187" s="143"/>
      <c r="P187" s="143"/>
      <c r="Q187" s="143" t="s">
        <v>228</v>
      </c>
      <c r="R187" s="143" t="s">
        <v>79</v>
      </c>
      <c r="S187" s="147"/>
      <c r="T187" s="143"/>
      <c r="U187" s="143"/>
      <c r="V187" s="143"/>
      <c r="W187" s="143"/>
      <c r="X187" s="143"/>
      <c r="Y187" s="143"/>
      <c r="Z187" s="143"/>
      <c r="AA187" s="143"/>
      <c r="AB187" s="143"/>
      <c r="AC187" s="143"/>
      <c r="AD187" s="153"/>
      <c r="AE187" s="153"/>
      <c r="AF187" s="143"/>
      <c r="AG187" s="155"/>
      <c r="AH187" s="150" t="s">
        <v>37</v>
      </c>
      <c r="AI187" s="151" t="s">
        <v>76</v>
      </c>
      <c r="AJ187" s="151" t="s">
        <v>70</v>
      </c>
      <c r="AK187" s="151" t="s">
        <v>70</v>
      </c>
      <c r="AL187" s="151" t="s">
        <v>118</v>
      </c>
      <c r="AM187" s="151" t="s">
        <v>70</v>
      </c>
      <c r="AN187" s="151" t="s">
        <v>70</v>
      </c>
      <c r="AO187" s="151" t="s">
        <v>70</v>
      </c>
      <c r="AP187" s="152"/>
      <c r="AQ187" s="153"/>
      <c r="AR187" s="153"/>
      <c r="AS187" s="153"/>
      <c r="AT187" s="153"/>
      <c r="AU187" s="154"/>
      <c r="AV187" s="153" t="s">
        <v>1028</v>
      </c>
      <c r="AW187" s="153" t="s">
        <v>106</v>
      </c>
      <c r="AX187" s="153" t="s">
        <v>73</v>
      </c>
      <c r="AY187" s="153" t="s">
        <v>73</v>
      </c>
      <c r="AZ187" s="153" t="s">
        <v>73</v>
      </c>
      <c r="BA187" s="154" t="s">
        <v>73</v>
      </c>
      <c r="BB187" s="152">
        <v>336741</v>
      </c>
      <c r="BC187" s="153">
        <v>336741</v>
      </c>
      <c r="BD187" s="153">
        <v>608982</v>
      </c>
      <c r="BE187" s="157">
        <v>608982</v>
      </c>
      <c r="BF187" s="157">
        <v>608982</v>
      </c>
      <c r="BG187" s="157"/>
      <c r="BH187" s="155" t="s">
        <v>1676</v>
      </c>
      <c r="BI187" s="152">
        <v>342508</v>
      </c>
      <c r="BJ187" s="153">
        <v>338009</v>
      </c>
      <c r="BK187" s="153">
        <v>397850</v>
      </c>
      <c r="BL187" s="153">
        <v>292446</v>
      </c>
      <c r="BM187" s="153" t="s">
        <v>920</v>
      </c>
      <c r="BN187" s="154">
        <f>SUMIF(BI187:BM187,"&gt;0",BI187:BM187)</f>
        <v>1370813</v>
      </c>
      <c r="BO187" s="156"/>
      <c r="BP187" s="148"/>
      <c r="BQ187" s="153"/>
      <c r="BR187" s="153"/>
      <c r="BS187" s="152"/>
      <c r="BT187" s="148"/>
      <c r="BU187" s="148"/>
      <c r="BV187" s="148"/>
      <c r="BW187" s="148"/>
      <c r="BX187" s="154">
        <f>SUM(BS187:BW187)</f>
        <v>0</v>
      </c>
      <c r="BY187" s="143"/>
      <c r="BZ187" s="143"/>
      <c r="CA187" s="143"/>
      <c r="CB187" s="143"/>
      <c r="CC187" s="143"/>
      <c r="CD187" s="143"/>
    </row>
    <row r="188" spans="1:82" ht="14.5">
      <c r="A188" s="143" t="s">
        <v>486</v>
      </c>
      <c r="B188" s="143" t="s">
        <v>1677</v>
      </c>
      <c r="C188" s="144" t="s">
        <v>772</v>
      </c>
      <c r="D188" s="144" t="s">
        <v>1674</v>
      </c>
      <c r="E188" s="145" t="s">
        <v>773</v>
      </c>
      <c r="F188" s="143" t="str">
        <f>SUBSTITUTE(E188," ","")</f>
        <v>31008046428</v>
      </c>
      <c r="G188" s="143" t="s">
        <v>1678</v>
      </c>
      <c r="H188" s="143" t="s">
        <v>60</v>
      </c>
      <c r="I188" s="143">
        <v>5540</v>
      </c>
      <c r="J188" s="143">
        <v>-33.160924999999999</v>
      </c>
      <c r="K188" s="143">
        <v>138.009691</v>
      </c>
      <c r="L188" s="143" t="s">
        <v>292</v>
      </c>
      <c r="M188" s="143" t="s">
        <v>292</v>
      </c>
      <c r="N188" s="143" t="s">
        <v>292</v>
      </c>
      <c r="O188" s="143"/>
      <c r="P188" s="143"/>
      <c r="Q188" s="143" t="s">
        <v>228</v>
      </c>
      <c r="R188" s="143" t="s">
        <v>79</v>
      </c>
      <c r="S188" s="147"/>
      <c r="T188" s="143"/>
      <c r="U188" s="143"/>
      <c r="V188" s="143"/>
      <c r="W188" s="143"/>
      <c r="X188" s="143"/>
      <c r="Y188" s="143"/>
      <c r="Z188" s="143"/>
      <c r="AA188" s="143"/>
      <c r="AB188" s="143"/>
      <c r="AC188" s="143"/>
      <c r="AD188" s="153"/>
      <c r="AE188" s="153"/>
      <c r="AF188" s="143"/>
      <c r="AG188" s="155"/>
      <c r="AH188" s="150" t="s">
        <v>37</v>
      </c>
      <c r="AI188" s="151" t="s">
        <v>76</v>
      </c>
      <c r="AJ188" s="151" t="s">
        <v>70</v>
      </c>
      <c r="AK188" s="151" t="s">
        <v>70</v>
      </c>
      <c r="AL188" s="151" t="s">
        <v>118</v>
      </c>
      <c r="AM188" s="151" t="s">
        <v>70</v>
      </c>
      <c r="AN188" s="151" t="s">
        <v>70</v>
      </c>
      <c r="AO188" s="151" t="s">
        <v>70</v>
      </c>
      <c r="AP188" s="152"/>
      <c r="AQ188" s="153"/>
      <c r="AR188" s="153"/>
      <c r="AS188" s="153"/>
      <c r="AT188" s="153"/>
      <c r="AU188" s="154"/>
      <c r="AV188" s="153" t="s">
        <v>114</v>
      </c>
      <c r="AW188" s="153" t="s">
        <v>114</v>
      </c>
      <c r="AX188" s="153" t="s">
        <v>114</v>
      </c>
      <c r="AY188" s="153" t="s">
        <v>114</v>
      </c>
      <c r="AZ188" s="153" t="s">
        <v>73</v>
      </c>
      <c r="BA188" s="154" t="s">
        <v>73</v>
      </c>
      <c r="BB188" s="152" t="s">
        <v>114</v>
      </c>
      <c r="BC188" s="153" t="s">
        <v>114</v>
      </c>
      <c r="BD188" s="153" t="s">
        <v>114</v>
      </c>
      <c r="BE188" s="157" t="s">
        <v>114</v>
      </c>
      <c r="BF188" s="157">
        <v>547081</v>
      </c>
      <c r="BG188" s="157"/>
      <c r="BH188" s="155"/>
      <c r="BI188" s="152" t="s">
        <v>920</v>
      </c>
      <c r="BJ188" s="153" t="s">
        <v>920</v>
      </c>
      <c r="BK188" s="153" t="s">
        <v>920</v>
      </c>
      <c r="BL188" s="153" t="s">
        <v>920</v>
      </c>
      <c r="BM188" s="153">
        <v>342966</v>
      </c>
      <c r="BN188" s="154">
        <f>SUMIF(BI188:BM188,"&gt;0",BI188:BM188)</f>
        <v>342966</v>
      </c>
      <c r="BO188" s="156"/>
      <c r="BP188" s="148"/>
      <c r="BQ188" s="153"/>
      <c r="BR188" s="153"/>
      <c r="BS188" s="152"/>
      <c r="BT188" s="148"/>
      <c r="BU188" s="148"/>
      <c r="BV188" s="148"/>
      <c r="BW188" s="148"/>
      <c r="BX188" s="154">
        <f>SUM(BS188:BW188)</f>
        <v>0</v>
      </c>
      <c r="BY188" s="143"/>
      <c r="BZ188" s="143"/>
      <c r="CA188" s="143"/>
      <c r="CB188" s="143"/>
      <c r="CC188" s="143"/>
      <c r="CD188" s="143"/>
    </row>
    <row r="189" spans="1:82" ht="14.5">
      <c r="A189" s="143" t="s">
        <v>423</v>
      </c>
      <c r="B189" s="143"/>
      <c r="C189" s="144" t="s">
        <v>715</v>
      </c>
      <c r="D189" s="144" t="s">
        <v>1467</v>
      </c>
      <c r="E189" s="145" t="s">
        <v>716</v>
      </c>
      <c r="F189" s="143" t="str">
        <f>SUBSTITUTE(E189," ","")</f>
        <v>99004117828</v>
      </c>
      <c r="G189" s="143" t="s">
        <v>1468</v>
      </c>
      <c r="H189" s="143" t="s">
        <v>31</v>
      </c>
      <c r="I189" s="143">
        <v>2304</v>
      </c>
      <c r="J189" s="143">
        <v>-32.8827037434</v>
      </c>
      <c r="K189" s="143">
        <v>151.76267775400001</v>
      </c>
      <c r="L189" s="143">
        <v>1969</v>
      </c>
      <c r="M189" s="143">
        <v>53</v>
      </c>
      <c r="N189" s="143">
        <v>0</v>
      </c>
      <c r="O189" s="143"/>
      <c r="P189" s="143"/>
      <c r="Q189" s="143" t="s">
        <v>158</v>
      </c>
      <c r="R189" s="143" t="s">
        <v>72</v>
      </c>
      <c r="S189" s="147" t="s">
        <v>612</v>
      </c>
      <c r="T189" s="143">
        <v>1</v>
      </c>
      <c r="U189" s="143" t="s">
        <v>1469</v>
      </c>
      <c r="V189" s="143" t="s">
        <v>1470</v>
      </c>
      <c r="W189" s="143" t="s">
        <v>1471</v>
      </c>
      <c r="X189" s="143" t="s">
        <v>1472</v>
      </c>
      <c r="Y189" s="143" t="s">
        <v>715</v>
      </c>
      <c r="Z189" s="143" t="s">
        <v>1473</v>
      </c>
      <c r="AA189" s="143" t="s">
        <v>1474</v>
      </c>
      <c r="AB189" s="153">
        <v>0</v>
      </c>
      <c r="AC189" s="153" t="s">
        <v>1475</v>
      </c>
      <c r="AD189" s="153">
        <v>3372650</v>
      </c>
      <c r="AE189" s="153">
        <v>0</v>
      </c>
      <c r="AF189" s="143" t="s">
        <v>1045</v>
      </c>
      <c r="AG189" s="155"/>
      <c r="AH189" s="147" t="s">
        <v>26</v>
      </c>
      <c r="AI189" s="146"/>
      <c r="AJ189" s="146"/>
      <c r="AK189" s="146" t="s">
        <v>70</v>
      </c>
      <c r="AL189" s="151" t="s">
        <v>118</v>
      </c>
      <c r="AM189" s="143"/>
      <c r="AN189" s="143"/>
      <c r="AO189" s="143"/>
      <c r="AP189" s="152" t="s">
        <v>26</v>
      </c>
      <c r="AQ189" s="153" t="s">
        <v>26</v>
      </c>
      <c r="AR189" s="160" t="str">
        <f>IF(BF189&gt;(BC189*1.1),"yes","no")</f>
        <v>no</v>
      </c>
      <c r="AS189" s="160" t="str">
        <f>IF(BM189&gt;(BJ189*1.1),"yes","no")</f>
        <v>no</v>
      </c>
      <c r="AT189" s="160" t="str">
        <f>IF(BM189&gt;(BI189*1.1),"yes","no")</f>
        <v>no</v>
      </c>
      <c r="AU189" s="154">
        <v>0</v>
      </c>
      <c r="AV189" s="153" t="s">
        <v>1028</v>
      </c>
      <c r="AW189" s="153" t="s">
        <v>108</v>
      </c>
      <c r="AX189" s="153" t="s">
        <v>95</v>
      </c>
      <c r="AY189" s="153" t="s">
        <v>80</v>
      </c>
      <c r="AZ189" s="153" t="s">
        <v>73</v>
      </c>
      <c r="BA189" s="154" t="s">
        <v>73</v>
      </c>
      <c r="BB189" s="152">
        <v>1304824</v>
      </c>
      <c r="BC189" s="153">
        <v>1304824</v>
      </c>
      <c r="BD189" s="153">
        <v>1330236</v>
      </c>
      <c r="BE189" s="153">
        <v>1295303</v>
      </c>
      <c r="BF189" s="153">
        <v>1291764</v>
      </c>
      <c r="BG189" s="157"/>
      <c r="BH189" s="155"/>
      <c r="BI189" s="152">
        <v>1281927</v>
      </c>
      <c r="BJ189" s="153">
        <v>1383186</v>
      </c>
      <c r="BK189" s="153">
        <v>1330236</v>
      </c>
      <c r="BL189" s="153">
        <v>1184384</v>
      </c>
      <c r="BM189" s="153">
        <v>1029334</v>
      </c>
      <c r="BN189" s="154">
        <f>SUMIF(BI189:BM189,"&gt;0",BI189:BM189)</f>
        <v>6209067</v>
      </c>
      <c r="BO189" s="156"/>
      <c r="BP189" s="148"/>
      <c r="BQ189" s="153"/>
      <c r="BR189" s="153"/>
      <c r="BS189" s="152"/>
      <c r="BT189" s="148"/>
      <c r="BU189" s="148"/>
      <c r="BV189" s="148"/>
      <c r="BW189" s="148"/>
      <c r="BX189" s="154">
        <f>SUM(BS189:BW189)</f>
        <v>0</v>
      </c>
      <c r="BY189" s="143"/>
      <c r="BZ189" s="143"/>
      <c r="CA189" s="143"/>
      <c r="CB189" s="143"/>
      <c r="CC189" s="143"/>
      <c r="CD189" s="259"/>
    </row>
    <row r="190" spans="1:82" ht="14.5">
      <c r="A190" s="143" t="s">
        <v>600</v>
      </c>
      <c r="B190" s="143" t="s">
        <v>2047</v>
      </c>
      <c r="C190" s="144" t="s">
        <v>715</v>
      </c>
      <c r="D190" s="144" t="s">
        <v>1467</v>
      </c>
      <c r="E190" s="145" t="s">
        <v>716</v>
      </c>
      <c r="F190" s="143" t="str">
        <f>SUBSTITUTE(E190," ","")</f>
        <v>99004117828</v>
      </c>
      <c r="G190" s="143" t="s">
        <v>2048</v>
      </c>
      <c r="H190" s="143" t="s">
        <v>53</v>
      </c>
      <c r="I190" s="143">
        <v>4680</v>
      </c>
      <c r="J190" s="143">
        <v>-23.836200000000002</v>
      </c>
      <c r="K190" s="143">
        <v>151.16669999999999</v>
      </c>
      <c r="L190" s="143">
        <v>1990</v>
      </c>
      <c r="M190" s="143">
        <v>32</v>
      </c>
      <c r="N190" s="143">
        <v>0</v>
      </c>
      <c r="O190" s="143"/>
      <c r="P190" s="143"/>
      <c r="Q190" s="143" t="s">
        <v>139</v>
      </c>
      <c r="R190" s="143" t="s">
        <v>72</v>
      </c>
      <c r="S190" s="147" t="s">
        <v>612</v>
      </c>
      <c r="T190" s="143">
        <v>2</v>
      </c>
      <c r="U190" s="143" t="s">
        <v>2049</v>
      </c>
      <c r="V190" s="143" t="s">
        <v>2050</v>
      </c>
      <c r="W190" s="143" t="s">
        <v>2051</v>
      </c>
      <c r="X190" s="143" t="s">
        <v>2052</v>
      </c>
      <c r="Y190" s="143" t="s">
        <v>2053</v>
      </c>
      <c r="Z190" s="143" t="s">
        <v>2054</v>
      </c>
      <c r="AA190" s="143" t="s">
        <v>2055</v>
      </c>
      <c r="AB190" s="153">
        <f>0+56202</f>
        <v>56202</v>
      </c>
      <c r="AC190" s="153" t="s">
        <v>2056</v>
      </c>
      <c r="AD190" s="153">
        <v>1317114</v>
      </c>
      <c r="AE190" s="153">
        <v>0</v>
      </c>
      <c r="AF190" s="143" t="s">
        <v>1045</v>
      </c>
      <c r="AG190" s="155"/>
      <c r="AH190" s="150" t="s">
        <v>37</v>
      </c>
      <c r="AI190" s="151" t="s">
        <v>76</v>
      </c>
      <c r="AJ190" s="151" t="s">
        <v>70</v>
      </c>
      <c r="AK190" s="151" t="s">
        <v>70</v>
      </c>
      <c r="AL190" s="151" t="s">
        <v>118</v>
      </c>
      <c r="AM190" s="151" t="s">
        <v>70</v>
      </c>
      <c r="AN190" s="151" t="s">
        <v>70</v>
      </c>
      <c r="AO190" s="151" t="s">
        <v>70</v>
      </c>
      <c r="AP190" s="152"/>
      <c r="AQ190" s="153"/>
      <c r="AR190" s="153"/>
      <c r="AS190" s="153"/>
      <c r="AT190" s="153"/>
      <c r="AU190" s="154"/>
      <c r="AV190" s="153" t="s">
        <v>106</v>
      </c>
      <c r="AW190" s="153" t="s">
        <v>106</v>
      </c>
      <c r="AX190" s="153" t="s">
        <v>111</v>
      </c>
      <c r="AY190" s="153" t="s">
        <v>73</v>
      </c>
      <c r="AZ190" s="153" t="s">
        <v>73</v>
      </c>
      <c r="BA190" s="154" t="s">
        <v>73</v>
      </c>
      <c r="BB190" s="152">
        <v>883945</v>
      </c>
      <c r="BC190" s="153">
        <v>883945</v>
      </c>
      <c r="BD190" s="153">
        <v>883945</v>
      </c>
      <c r="BE190" s="157">
        <v>359828</v>
      </c>
      <c r="BF190" s="157">
        <v>321343</v>
      </c>
      <c r="BG190" s="157"/>
      <c r="BH190" s="155"/>
      <c r="BI190" s="152" t="s">
        <v>920</v>
      </c>
      <c r="BJ190" s="153">
        <v>206739</v>
      </c>
      <c r="BK190" s="153">
        <v>354029</v>
      </c>
      <c r="BL190" s="153">
        <v>323764</v>
      </c>
      <c r="BM190" s="153">
        <v>289722</v>
      </c>
      <c r="BN190" s="154">
        <f>SUMIF(BI190:BM190,"&gt;0",BI190:BM190)</f>
        <v>1174254</v>
      </c>
      <c r="BO190" s="156"/>
      <c r="BP190" s="148"/>
      <c r="BQ190" s="153"/>
      <c r="BR190" s="153"/>
      <c r="BS190" s="152"/>
      <c r="BT190" s="148"/>
      <c r="BU190" s="148"/>
      <c r="BV190" s="148"/>
      <c r="BW190" s="148"/>
      <c r="BX190" s="154">
        <f>SUM(BS190:BW190)</f>
        <v>0</v>
      </c>
      <c r="BY190" s="143"/>
      <c r="BZ190" s="143"/>
      <c r="CA190" s="143"/>
      <c r="CB190" s="143"/>
      <c r="CC190" s="143"/>
      <c r="CD190" s="143"/>
    </row>
    <row r="191" spans="1:82" ht="14.5">
      <c r="A191" s="143" t="s">
        <v>555</v>
      </c>
      <c r="B191" s="143"/>
      <c r="C191" s="144" t="s">
        <v>817</v>
      </c>
      <c r="D191" s="159" t="s">
        <v>1512</v>
      </c>
      <c r="E191" s="145" t="s">
        <v>818</v>
      </c>
      <c r="F191" s="143" t="str">
        <f>SUBSTITUTE(E191," ","")</f>
        <v>67105423532</v>
      </c>
      <c r="G191" s="143" t="s">
        <v>1915</v>
      </c>
      <c r="H191" s="143" t="s">
        <v>53</v>
      </c>
      <c r="I191" s="143">
        <v>4455</v>
      </c>
      <c r="J191" s="143">
        <v>-25.947778</v>
      </c>
      <c r="K191" s="143">
        <v>149.06916699999999</v>
      </c>
      <c r="L191" s="143" t="s">
        <v>292</v>
      </c>
      <c r="M191" s="143" t="s">
        <v>292</v>
      </c>
      <c r="N191" s="143" t="s">
        <v>292</v>
      </c>
      <c r="O191" s="143"/>
      <c r="P191" s="143"/>
      <c r="Q191" s="143" t="s">
        <v>121</v>
      </c>
      <c r="R191" s="143" t="s">
        <v>58</v>
      </c>
      <c r="S191" s="147"/>
      <c r="T191" s="143"/>
      <c r="U191" s="143"/>
      <c r="V191" s="143"/>
      <c r="W191" s="143"/>
      <c r="X191" s="143"/>
      <c r="Y191" s="143"/>
      <c r="Z191" s="143"/>
      <c r="AA191" s="143"/>
      <c r="AB191" s="143"/>
      <c r="AC191" s="143"/>
      <c r="AD191" s="153"/>
      <c r="AE191" s="153"/>
      <c r="AF191" s="143"/>
      <c r="AG191" s="155"/>
      <c r="AH191" s="147" t="s">
        <v>26</v>
      </c>
      <c r="AI191" s="151" t="s">
        <v>76</v>
      </c>
      <c r="AJ191" s="146"/>
      <c r="AK191" s="146" t="s">
        <v>292</v>
      </c>
      <c r="AL191" s="146" t="s">
        <v>292</v>
      </c>
      <c r="AM191" s="143"/>
      <c r="AN191" s="143"/>
      <c r="AO191" s="143"/>
      <c r="AP191" s="152"/>
      <c r="AQ191" s="153"/>
      <c r="AR191" s="153"/>
      <c r="AS191" s="153"/>
      <c r="AT191" s="153"/>
      <c r="AU191" s="154"/>
      <c r="AV191" s="153" t="s">
        <v>41</v>
      </c>
      <c r="AW191" s="153" t="s">
        <v>41</v>
      </c>
      <c r="AX191" s="153" t="s">
        <v>41</v>
      </c>
      <c r="AY191" s="153" t="s">
        <v>41</v>
      </c>
      <c r="AZ191" s="153" t="s">
        <v>98</v>
      </c>
      <c r="BA191" s="154" t="s">
        <v>98</v>
      </c>
      <c r="BB191" s="152">
        <v>339408</v>
      </c>
      <c r="BC191" s="153">
        <v>339408</v>
      </c>
      <c r="BD191" s="153">
        <v>339408</v>
      </c>
      <c r="BE191" s="157">
        <v>339408</v>
      </c>
      <c r="BF191" s="157">
        <v>430469</v>
      </c>
      <c r="BG191" s="157"/>
      <c r="BH191" s="155"/>
      <c r="BI191" s="152">
        <v>299974</v>
      </c>
      <c r="BJ191" s="153">
        <v>326866</v>
      </c>
      <c r="BK191" s="153">
        <v>261884</v>
      </c>
      <c r="BL191" s="153">
        <v>245745</v>
      </c>
      <c r="BM191" s="153">
        <v>241555</v>
      </c>
      <c r="BN191" s="154">
        <f>SUMIF(BI191:BM191,"&gt;0",BI191:BM191)</f>
        <v>1376024</v>
      </c>
      <c r="BO191" s="156"/>
      <c r="BP191" s="148"/>
      <c r="BQ191" s="153"/>
      <c r="BR191" s="153"/>
      <c r="BS191" s="152"/>
      <c r="BT191" s="148"/>
      <c r="BU191" s="148"/>
      <c r="BV191" s="148"/>
      <c r="BW191" s="148"/>
      <c r="BX191" s="154">
        <f>SUM(BS191:BW191)</f>
        <v>0</v>
      </c>
      <c r="BY191" s="143"/>
      <c r="BZ191" s="143"/>
      <c r="CA191" s="143"/>
      <c r="CB191" s="143"/>
      <c r="CC191" s="143"/>
      <c r="CD191" s="143"/>
    </row>
    <row r="192" spans="1:82" ht="14.5">
      <c r="A192" s="143" t="s">
        <v>560</v>
      </c>
      <c r="B192" s="143"/>
      <c r="C192" s="144" t="s">
        <v>817</v>
      </c>
      <c r="D192" s="159" t="s">
        <v>1512</v>
      </c>
      <c r="E192" s="145" t="s">
        <v>818</v>
      </c>
      <c r="F192" s="143" t="str">
        <f>SUBSTITUTE(E192," ","")</f>
        <v>67105423532</v>
      </c>
      <c r="G192" s="143" t="s">
        <v>1940</v>
      </c>
      <c r="H192" s="143" t="s">
        <v>53</v>
      </c>
      <c r="I192" s="143">
        <v>4416</v>
      </c>
      <c r="J192" s="143">
        <v>-26.883800000000001</v>
      </c>
      <c r="K192" s="143">
        <v>150.3484</v>
      </c>
      <c r="L192" s="143" t="s">
        <v>292</v>
      </c>
      <c r="M192" s="143" t="s">
        <v>292</v>
      </c>
      <c r="N192" s="143" t="s">
        <v>292</v>
      </c>
      <c r="O192" s="143"/>
      <c r="P192" s="143"/>
      <c r="Q192" s="143" t="s">
        <v>121</v>
      </c>
      <c r="R192" s="143" t="s">
        <v>58</v>
      </c>
      <c r="S192" s="147"/>
      <c r="T192" s="143"/>
      <c r="U192" s="143"/>
      <c r="V192" s="143"/>
      <c r="W192" s="143"/>
      <c r="X192" s="143"/>
      <c r="Y192" s="143"/>
      <c r="Z192" s="143"/>
      <c r="AA192" s="143"/>
      <c r="AB192" s="143"/>
      <c r="AC192" s="143"/>
      <c r="AD192" s="153"/>
      <c r="AE192" s="153"/>
      <c r="AF192" s="143"/>
      <c r="AG192" s="155"/>
      <c r="AH192" s="147" t="s">
        <v>26</v>
      </c>
      <c r="AI192" s="151" t="s">
        <v>76</v>
      </c>
      <c r="AJ192" s="146"/>
      <c r="AK192" s="146" t="s">
        <v>292</v>
      </c>
      <c r="AL192" s="146" t="s">
        <v>292</v>
      </c>
      <c r="AM192" s="143"/>
      <c r="AN192" s="143"/>
      <c r="AO192" s="143"/>
      <c r="AP192" s="152"/>
      <c r="AQ192" s="153"/>
      <c r="AR192" s="153"/>
      <c r="AS192" s="153"/>
      <c r="AT192" s="153"/>
      <c r="AU192" s="154"/>
      <c r="AV192" s="153" t="s">
        <v>41</v>
      </c>
      <c r="AW192" s="153" t="s">
        <v>41</v>
      </c>
      <c r="AX192" s="153" t="s">
        <v>41</v>
      </c>
      <c r="AY192" s="153" t="s">
        <v>41</v>
      </c>
      <c r="AZ192" s="153" t="s">
        <v>98</v>
      </c>
      <c r="BA192" s="154" t="s">
        <v>98</v>
      </c>
      <c r="BB192" s="152">
        <v>232142</v>
      </c>
      <c r="BC192" s="153">
        <v>232142</v>
      </c>
      <c r="BD192" s="153">
        <v>232142</v>
      </c>
      <c r="BE192" s="157">
        <v>232142</v>
      </c>
      <c r="BF192" s="157">
        <v>255112</v>
      </c>
      <c r="BG192" s="157"/>
      <c r="BH192" s="155"/>
      <c r="BI192" s="152">
        <v>198376</v>
      </c>
      <c r="BJ192" s="153">
        <v>224539</v>
      </c>
      <c r="BK192" s="153">
        <v>213481</v>
      </c>
      <c r="BL192" s="153">
        <v>222194</v>
      </c>
      <c r="BM192" s="153">
        <v>219146</v>
      </c>
      <c r="BN192" s="154">
        <f>SUMIF(BI192:BM192,"&gt;0",BI192:BM192)</f>
        <v>1077736</v>
      </c>
      <c r="BO192" s="156"/>
      <c r="BP192" s="148"/>
      <c r="BQ192" s="153"/>
      <c r="BR192" s="153"/>
      <c r="BS192" s="152"/>
      <c r="BT192" s="148"/>
      <c r="BU192" s="148"/>
      <c r="BV192" s="148"/>
      <c r="BW192" s="148"/>
      <c r="BX192" s="154">
        <f>SUM(BS192:BW192)</f>
        <v>0</v>
      </c>
      <c r="BY192" s="143"/>
      <c r="BZ192" s="143"/>
      <c r="CA192" s="143"/>
      <c r="CB192" s="143"/>
      <c r="CC192" s="143"/>
      <c r="CD192" s="143"/>
    </row>
    <row r="193" spans="1:82" ht="14.5">
      <c r="A193" s="143" t="s">
        <v>435</v>
      </c>
      <c r="B193" s="143" t="s">
        <v>1511</v>
      </c>
      <c r="C193" s="144" t="s">
        <v>817</v>
      </c>
      <c r="D193" s="159" t="s">
        <v>1512</v>
      </c>
      <c r="E193" s="145" t="s">
        <v>818</v>
      </c>
      <c r="F193" s="143" t="str">
        <f>SUBSTITUTE(E193," ","")</f>
        <v>67105423532</v>
      </c>
      <c r="G193" s="143" t="s">
        <v>1227</v>
      </c>
      <c r="H193" s="143" t="s">
        <v>53</v>
      </c>
      <c r="I193" s="143">
        <v>4415</v>
      </c>
      <c r="J193" s="143">
        <v>-26.673048000000001</v>
      </c>
      <c r="K193" s="143">
        <v>150.22851399999999</v>
      </c>
      <c r="L193" s="143" t="s">
        <v>292</v>
      </c>
      <c r="M193" s="143" t="s">
        <v>292</v>
      </c>
      <c r="N193" s="143" t="s">
        <v>292</v>
      </c>
      <c r="O193" s="143"/>
      <c r="P193" s="143"/>
      <c r="Q193" s="143" t="s">
        <v>121</v>
      </c>
      <c r="R193" s="143" t="s">
        <v>58</v>
      </c>
      <c r="S193" s="147"/>
      <c r="T193" s="143"/>
      <c r="U193" s="143"/>
      <c r="V193" s="143"/>
      <c r="W193" s="143"/>
      <c r="X193" s="143"/>
      <c r="Y193" s="143"/>
      <c r="Z193" s="143"/>
      <c r="AA193" s="143"/>
      <c r="AB193" s="143"/>
      <c r="AC193" s="143"/>
      <c r="AD193" s="153"/>
      <c r="AE193" s="153"/>
      <c r="AF193" s="143"/>
      <c r="AG193" s="155"/>
      <c r="AH193" s="147" t="s">
        <v>26</v>
      </c>
      <c r="AI193" s="151" t="s">
        <v>76</v>
      </c>
      <c r="AJ193" s="146"/>
      <c r="AK193" s="146" t="s">
        <v>292</v>
      </c>
      <c r="AL193" s="146" t="s">
        <v>292</v>
      </c>
      <c r="AM193" s="143"/>
      <c r="AN193" s="143"/>
      <c r="AO193" s="143"/>
      <c r="AP193" s="152" t="s">
        <v>26</v>
      </c>
      <c r="AQ193" s="153" t="s">
        <v>26</v>
      </c>
      <c r="AR193" s="160" t="str">
        <f>IF(BF193&gt;(BC193*1.1),"yes","no")</f>
        <v>yes</v>
      </c>
      <c r="AS193" s="160" t="str">
        <f>IF(BL193&gt;(BJ193*1.1),"yes","no")</f>
        <v>no</v>
      </c>
      <c r="AT193" s="160" t="str">
        <f>IF(BL193&gt;(BJ193*1.1),"yes","no")</f>
        <v>no</v>
      </c>
      <c r="AU193" s="154">
        <v>0</v>
      </c>
      <c r="AV193" s="153" t="s">
        <v>114</v>
      </c>
      <c r="AW193" s="148" t="s">
        <v>89</v>
      </c>
      <c r="AX193" s="148" t="s">
        <v>89</v>
      </c>
      <c r="AY193" s="148" t="s">
        <v>89</v>
      </c>
      <c r="AZ193" s="153" t="s">
        <v>114</v>
      </c>
      <c r="BA193" s="154" t="s">
        <v>114</v>
      </c>
      <c r="BB193" s="152" t="s">
        <v>114</v>
      </c>
      <c r="BC193" s="153">
        <v>100000</v>
      </c>
      <c r="BD193" s="153">
        <v>100000</v>
      </c>
      <c r="BE193" s="157">
        <v>100274</v>
      </c>
      <c r="BF193" s="157" t="s">
        <v>114</v>
      </c>
      <c r="BG193" s="157"/>
      <c r="BH193" s="155"/>
      <c r="BI193" s="152" t="s">
        <v>920</v>
      </c>
      <c r="BJ193" s="153">
        <v>102843</v>
      </c>
      <c r="BK193" s="153">
        <v>96301</v>
      </c>
      <c r="BL193" s="153">
        <v>92068</v>
      </c>
      <c r="BM193" s="153" t="s">
        <v>920</v>
      </c>
      <c r="BN193" s="154">
        <f>SUMIF(BI193:BM193,"&gt;0",BI193:BM193)</f>
        <v>291212</v>
      </c>
      <c r="BO193" s="156">
        <v>5000</v>
      </c>
      <c r="BP193" s="148">
        <v>5000</v>
      </c>
      <c r="BQ193" s="153">
        <v>5000</v>
      </c>
      <c r="BR193" s="153">
        <v>5000</v>
      </c>
      <c r="BS193" s="152"/>
      <c r="BT193" s="148"/>
      <c r="BU193" s="148"/>
      <c r="BV193" s="148"/>
      <c r="BW193" s="148"/>
      <c r="BX193" s="154">
        <f>SUM(BS193:BW193)</f>
        <v>0</v>
      </c>
      <c r="BY193" s="143"/>
      <c r="BZ193" s="143"/>
      <c r="CA193" s="143"/>
      <c r="CB193" s="143"/>
      <c r="CC193" s="143"/>
      <c r="CD193" s="143"/>
    </row>
    <row r="194" spans="1:82" ht="14.5">
      <c r="A194" s="143" t="s">
        <v>499</v>
      </c>
      <c r="B194" s="143"/>
      <c r="C194" s="144"/>
      <c r="D194" s="159" t="s">
        <v>1512</v>
      </c>
      <c r="E194" s="145" t="s">
        <v>818</v>
      </c>
      <c r="F194" s="143" t="str">
        <f>SUBSTITUTE(E194," ","")</f>
        <v>67105423532</v>
      </c>
      <c r="G194" s="143" t="s">
        <v>1724</v>
      </c>
      <c r="H194" s="143" t="s">
        <v>53</v>
      </c>
      <c r="I194" s="143">
        <v>4419</v>
      </c>
      <c r="J194" s="143">
        <v>-26.010556000000001</v>
      </c>
      <c r="K194" s="143">
        <v>150.09194400000001</v>
      </c>
      <c r="L194" s="143" t="s">
        <v>292</v>
      </c>
      <c r="M194" s="143" t="s">
        <v>292</v>
      </c>
      <c r="N194" s="143" t="s">
        <v>292</v>
      </c>
      <c r="O194" s="143"/>
      <c r="P194" s="143"/>
      <c r="Q194" s="143" t="s">
        <v>121</v>
      </c>
      <c r="R194" s="143" t="s">
        <v>58</v>
      </c>
      <c r="S194" s="147"/>
      <c r="T194" s="143"/>
      <c r="U194" s="143"/>
      <c r="V194" s="143"/>
      <c r="W194" s="143"/>
      <c r="X194" s="143"/>
      <c r="Y194" s="143"/>
      <c r="Z194" s="143"/>
      <c r="AA194" s="143"/>
      <c r="AB194" s="143"/>
      <c r="AC194" s="143"/>
      <c r="AD194" s="153"/>
      <c r="AE194" s="153"/>
      <c r="AF194" s="143"/>
      <c r="AG194" s="155"/>
      <c r="AH194" s="147" t="s">
        <v>26</v>
      </c>
      <c r="AI194" s="151" t="s">
        <v>76</v>
      </c>
      <c r="AJ194" s="146"/>
      <c r="AK194" s="146" t="s">
        <v>292</v>
      </c>
      <c r="AL194" s="146" t="s">
        <v>292</v>
      </c>
      <c r="AM194" s="143"/>
      <c r="AN194" s="143"/>
      <c r="AO194" s="143"/>
      <c r="AP194" s="152"/>
      <c r="AQ194" s="153"/>
      <c r="AR194" s="153"/>
      <c r="AS194" s="153"/>
      <c r="AT194" s="153"/>
      <c r="AU194" s="154"/>
      <c r="AV194" s="153" t="s">
        <v>106</v>
      </c>
      <c r="AW194" s="153" t="s">
        <v>106</v>
      </c>
      <c r="AX194" s="153" t="s">
        <v>106</v>
      </c>
      <c r="AY194" s="153" t="s">
        <v>106</v>
      </c>
      <c r="AZ194" s="153" t="s">
        <v>106</v>
      </c>
      <c r="BA194" s="154" t="s">
        <v>114</v>
      </c>
      <c r="BB194" s="152">
        <v>133960</v>
      </c>
      <c r="BC194" s="153">
        <v>133960</v>
      </c>
      <c r="BD194" s="153">
        <v>133960</v>
      </c>
      <c r="BE194" s="153">
        <v>133960</v>
      </c>
      <c r="BF194" s="153">
        <v>133960</v>
      </c>
      <c r="BG194" s="157"/>
      <c r="BH194" s="155"/>
      <c r="BI194" s="152" t="s">
        <v>920</v>
      </c>
      <c r="BJ194" s="153" t="s">
        <v>920</v>
      </c>
      <c r="BK194" s="153" t="s">
        <v>920</v>
      </c>
      <c r="BL194" s="153" t="s">
        <v>920</v>
      </c>
      <c r="BM194" s="153" t="s">
        <v>920</v>
      </c>
      <c r="BN194" s="154">
        <f>SUMIF(BI194:BM194,"&gt;0",BI194:BM194)</f>
        <v>0</v>
      </c>
      <c r="BO194" s="156"/>
      <c r="BP194" s="148"/>
      <c r="BQ194" s="153"/>
      <c r="BR194" s="153"/>
      <c r="BS194" s="152"/>
      <c r="BT194" s="148"/>
      <c r="BU194" s="148"/>
      <c r="BV194" s="148"/>
      <c r="BW194" s="148"/>
      <c r="BX194" s="154">
        <f>SUM(BS194:BW194)</f>
        <v>0</v>
      </c>
      <c r="BY194" s="143"/>
      <c r="BZ194" s="143"/>
      <c r="CA194" s="143"/>
      <c r="CB194" s="143"/>
      <c r="CC194" s="143"/>
      <c r="CD194" s="143"/>
    </row>
    <row r="195" spans="1:82" ht="14.5">
      <c r="A195" s="143" t="s">
        <v>493</v>
      </c>
      <c r="B195" s="143" t="s">
        <v>1708</v>
      </c>
      <c r="C195" s="144" t="s">
        <v>776</v>
      </c>
      <c r="D195" s="144" t="s">
        <v>1709</v>
      </c>
      <c r="E195" s="145" t="s">
        <v>777</v>
      </c>
      <c r="F195" s="143" t="str">
        <f>SUBSTITUTE(E195," ","")</f>
        <v>55004275165</v>
      </c>
      <c r="G195" s="143" t="s">
        <v>1710</v>
      </c>
      <c r="H195" s="143" t="s">
        <v>60</v>
      </c>
      <c r="I195" s="143">
        <v>5118</v>
      </c>
      <c r="J195" s="143">
        <v>-34.550348</v>
      </c>
      <c r="K195" s="143">
        <v>138.764646</v>
      </c>
      <c r="L195" s="173" t="s">
        <v>292</v>
      </c>
      <c r="M195" s="173" t="s">
        <v>292</v>
      </c>
      <c r="N195" s="143">
        <v>0</v>
      </c>
      <c r="O195" s="143"/>
      <c r="P195" s="143"/>
      <c r="Q195" s="143" t="s">
        <v>161</v>
      </c>
      <c r="R195" s="143" t="s">
        <v>72</v>
      </c>
      <c r="S195" s="147"/>
      <c r="T195" s="143"/>
      <c r="U195" s="143"/>
      <c r="V195" s="143"/>
      <c r="W195" s="143"/>
      <c r="X195" s="143"/>
      <c r="Y195" s="143"/>
      <c r="Z195" s="143"/>
      <c r="AA195" s="143"/>
      <c r="AB195" s="143"/>
      <c r="AC195" s="143"/>
      <c r="AD195" s="153"/>
      <c r="AE195" s="153"/>
      <c r="AF195" s="143"/>
      <c r="AG195" s="155"/>
      <c r="AH195" s="150" t="s">
        <v>37</v>
      </c>
      <c r="AI195" s="151" t="s">
        <v>76</v>
      </c>
      <c r="AJ195" s="151" t="s">
        <v>70</v>
      </c>
      <c r="AK195" s="151" t="s">
        <v>70</v>
      </c>
      <c r="AL195" s="151" t="s">
        <v>118</v>
      </c>
      <c r="AM195" s="151" t="s">
        <v>70</v>
      </c>
      <c r="AN195" s="151" t="s">
        <v>70</v>
      </c>
      <c r="AO195" s="151" t="s">
        <v>70</v>
      </c>
      <c r="AP195" s="152"/>
      <c r="AQ195" s="153"/>
      <c r="AR195" s="153"/>
      <c r="AS195" s="153"/>
      <c r="AT195" s="153"/>
      <c r="AU195" s="154"/>
      <c r="AV195" s="153" t="s">
        <v>41</v>
      </c>
      <c r="AW195" s="153" t="s">
        <v>41</v>
      </c>
      <c r="AX195" s="153" t="s">
        <v>41</v>
      </c>
      <c r="AY195" s="153" t="s">
        <v>41</v>
      </c>
      <c r="AZ195" s="153" t="s">
        <v>98</v>
      </c>
      <c r="BA195" s="154" t="s">
        <v>98</v>
      </c>
      <c r="BB195" s="152">
        <v>232401</v>
      </c>
      <c r="BC195" s="153">
        <v>232401</v>
      </c>
      <c r="BD195" s="153">
        <v>232401</v>
      </c>
      <c r="BE195" s="157">
        <v>232401</v>
      </c>
      <c r="BF195" s="157">
        <v>230909</v>
      </c>
      <c r="BG195" s="157"/>
      <c r="BH195" s="155"/>
      <c r="BI195" s="152">
        <v>212986</v>
      </c>
      <c r="BJ195" s="153">
        <v>229530</v>
      </c>
      <c r="BK195" s="153">
        <v>225163</v>
      </c>
      <c r="BL195" s="153">
        <v>204393</v>
      </c>
      <c r="BM195" s="153">
        <v>209186</v>
      </c>
      <c r="BN195" s="154">
        <f>SUMIF(BI195:BM195,"&gt;0",BI195:BM195)</f>
        <v>1081258</v>
      </c>
      <c r="BO195" s="156"/>
      <c r="BP195" s="148"/>
      <c r="BQ195" s="153"/>
      <c r="BR195" s="153"/>
      <c r="BS195" s="152"/>
      <c r="BT195" s="148"/>
      <c r="BU195" s="148"/>
      <c r="BV195" s="148"/>
      <c r="BW195" s="148"/>
      <c r="BX195" s="154">
        <f>SUM(BS195:BW195)</f>
        <v>0</v>
      </c>
      <c r="BY195" s="143"/>
      <c r="BZ195" s="143"/>
      <c r="CA195" s="143"/>
      <c r="CB195" s="143"/>
      <c r="CC195" s="143"/>
      <c r="CD195" s="143"/>
    </row>
    <row r="196" spans="1:82" ht="14.5">
      <c r="A196" s="143" t="s">
        <v>512</v>
      </c>
      <c r="B196" s="143" t="s">
        <v>1767</v>
      </c>
      <c r="C196" s="144" t="s">
        <v>1768</v>
      </c>
      <c r="D196" s="144" t="s">
        <v>1769</v>
      </c>
      <c r="E196" s="145" t="s">
        <v>1770</v>
      </c>
      <c r="F196" s="143" t="str">
        <f>SUBSTITUTE(E196," ","")</f>
        <v>63091546691</v>
      </c>
      <c r="G196" s="143" t="s">
        <v>1771</v>
      </c>
      <c r="H196" s="143" t="s">
        <v>60</v>
      </c>
      <c r="I196" s="143">
        <v>5723</v>
      </c>
      <c r="J196" s="143">
        <v>-29.730430999999999</v>
      </c>
      <c r="K196" s="143">
        <v>135.56466800000001</v>
      </c>
      <c r="L196" s="143" t="s">
        <v>292</v>
      </c>
      <c r="M196" s="143" t="s">
        <v>292</v>
      </c>
      <c r="N196" s="143" t="s">
        <v>292</v>
      </c>
      <c r="O196" s="143"/>
      <c r="P196" s="143"/>
      <c r="Q196" s="143" t="s">
        <v>224</v>
      </c>
      <c r="R196" s="143" t="s">
        <v>79</v>
      </c>
      <c r="S196" s="147"/>
      <c r="T196" s="143"/>
      <c r="U196" s="143"/>
      <c r="V196" s="143"/>
      <c r="W196" s="143"/>
      <c r="X196" s="143"/>
      <c r="Y196" s="143"/>
      <c r="Z196" s="143"/>
      <c r="AA196" s="143"/>
      <c r="AB196" s="143"/>
      <c r="AC196" s="143"/>
      <c r="AD196" s="153"/>
      <c r="AE196" s="153"/>
      <c r="AF196" s="143"/>
      <c r="AG196" s="155"/>
      <c r="AH196" s="150" t="s">
        <v>37</v>
      </c>
      <c r="AI196" s="151" t="s">
        <v>76</v>
      </c>
      <c r="AJ196" s="151" t="s">
        <v>70</v>
      </c>
      <c r="AK196" s="151" t="s">
        <v>70</v>
      </c>
      <c r="AL196" s="151" t="s">
        <v>118</v>
      </c>
      <c r="AM196" s="151" t="s">
        <v>70</v>
      </c>
      <c r="AN196" s="151" t="s">
        <v>70</v>
      </c>
      <c r="AO196" s="151" t="s">
        <v>70</v>
      </c>
      <c r="AP196" s="152"/>
      <c r="AQ196" s="153"/>
      <c r="AR196" s="153"/>
      <c r="AS196" s="153"/>
      <c r="AT196" s="153"/>
      <c r="AU196" s="154"/>
      <c r="AV196" s="153" t="s">
        <v>106</v>
      </c>
      <c r="AW196" s="153" t="s">
        <v>106</v>
      </c>
      <c r="AX196" s="153" t="s">
        <v>106</v>
      </c>
      <c r="AY196" s="153" t="s">
        <v>106</v>
      </c>
      <c r="AZ196" s="153" t="s">
        <v>106</v>
      </c>
      <c r="BA196" s="154" t="s">
        <v>114</v>
      </c>
      <c r="BB196" s="152">
        <v>228843</v>
      </c>
      <c r="BC196" s="153">
        <v>228843</v>
      </c>
      <c r="BD196" s="153">
        <v>228843</v>
      </c>
      <c r="BE196" s="157">
        <v>228843</v>
      </c>
      <c r="BF196" s="157">
        <v>228843</v>
      </c>
      <c r="BG196" s="157"/>
      <c r="BH196" s="155"/>
      <c r="BI196" s="152">
        <v>101864</v>
      </c>
      <c r="BJ196" s="153" t="s">
        <v>920</v>
      </c>
      <c r="BK196" s="153" t="s">
        <v>920</v>
      </c>
      <c r="BL196" s="153" t="s">
        <v>920</v>
      </c>
      <c r="BM196" s="153" t="s">
        <v>920</v>
      </c>
      <c r="BN196" s="154">
        <f>SUMIF(BI196:BM196,"&gt;0",BI196:BM196)</f>
        <v>101864</v>
      </c>
      <c r="BO196" s="156"/>
      <c r="BP196" s="148"/>
      <c r="BQ196" s="153"/>
      <c r="BR196" s="153"/>
      <c r="BS196" s="152"/>
      <c r="BT196" s="148"/>
      <c r="BU196" s="148"/>
      <c r="BV196" s="148"/>
      <c r="BW196" s="148"/>
      <c r="BX196" s="154">
        <f>SUM(BS196:BW196)</f>
        <v>0</v>
      </c>
      <c r="BY196" s="143"/>
      <c r="BZ196" s="143"/>
      <c r="CA196" s="143"/>
      <c r="CB196" s="143"/>
      <c r="CC196" s="143"/>
      <c r="CD196" s="143"/>
    </row>
    <row r="197" spans="1:82" ht="14.5">
      <c r="A197" s="143" t="s">
        <v>480</v>
      </c>
      <c r="B197" s="143"/>
      <c r="C197" s="144" t="s">
        <v>766</v>
      </c>
      <c r="D197" s="159" t="s">
        <v>1231</v>
      </c>
      <c r="E197" s="145" t="s">
        <v>767</v>
      </c>
      <c r="F197" s="143" t="str">
        <f>SUBSTITUTE(E197," ","")</f>
        <v>50010879526</v>
      </c>
      <c r="G197" s="143" t="s">
        <v>1651</v>
      </c>
      <c r="H197" s="143" t="s">
        <v>53</v>
      </c>
      <c r="I197" s="143">
        <v>4743</v>
      </c>
      <c r="J197" s="143">
        <v>-21.662935000000001</v>
      </c>
      <c r="K197" s="143">
        <v>147.95608999999999</v>
      </c>
      <c r="L197" s="143" t="s">
        <v>292</v>
      </c>
      <c r="M197" s="143" t="s">
        <v>292</v>
      </c>
      <c r="N197" s="143" t="s">
        <v>292</v>
      </c>
      <c r="O197" s="143" t="s">
        <v>55</v>
      </c>
      <c r="P197" s="173" t="s">
        <v>2082</v>
      </c>
      <c r="Q197" s="143" t="s">
        <v>29</v>
      </c>
      <c r="R197" s="143" t="s">
        <v>29</v>
      </c>
      <c r="S197" s="147" t="s">
        <v>612</v>
      </c>
      <c r="T197" s="143">
        <v>1</v>
      </c>
      <c r="U197" s="143" t="s">
        <v>1652</v>
      </c>
      <c r="V197" s="143" t="s">
        <v>1653</v>
      </c>
      <c r="W197" s="143" t="s">
        <v>1040</v>
      </c>
      <c r="X197" s="143" t="s">
        <v>1654</v>
      </c>
      <c r="Y197" s="143" t="s">
        <v>1655</v>
      </c>
      <c r="Z197" s="143" t="s">
        <v>1461</v>
      </c>
      <c r="AA197" s="143" t="s">
        <v>1656</v>
      </c>
      <c r="AB197" s="153">
        <v>0</v>
      </c>
      <c r="AC197" s="153" t="s">
        <v>1657</v>
      </c>
      <c r="AD197" s="153">
        <v>857483</v>
      </c>
      <c r="AE197" s="153">
        <v>0</v>
      </c>
      <c r="AF197" s="143" t="s">
        <v>1045</v>
      </c>
      <c r="AG197" s="155"/>
      <c r="AH197" s="147" t="s">
        <v>26</v>
      </c>
      <c r="AI197" s="146" t="s">
        <v>69</v>
      </c>
      <c r="AJ197" s="146" t="s">
        <v>1630</v>
      </c>
      <c r="AK197" s="146" t="s">
        <v>33</v>
      </c>
      <c r="AL197" s="143" t="s">
        <v>43</v>
      </c>
      <c r="AM197" s="143"/>
      <c r="AN197" s="143"/>
      <c r="AO197" s="143"/>
      <c r="AP197" s="152"/>
      <c r="AQ197" s="153"/>
      <c r="AR197" s="153"/>
      <c r="AS197" s="153"/>
      <c r="AT197" s="153"/>
      <c r="AU197" s="154"/>
      <c r="AV197" s="153" t="s">
        <v>1028</v>
      </c>
      <c r="AW197" s="153" t="s">
        <v>106</v>
      </c>
      <c r="AX197" s="153" t="s">
        <v>106</v>
      </c>
      <c r="AY197" s="153" t="s">
        <v>106</v>
      </c>
      <c r="AZ197" s="153" t="s">
        <v>73</v>
      </c>
      <c r="BA197" s="154" t="s">
        <v>73</v>
      </c>
      <c r="BB197" s="152">
        <v>1508900</v>
      </c>
      <c r="BC197" s="153">
        <v>1508900</v>
      </c>
      <c r="BD197" s="153">
        <v>1508900</v>
      </c>
      <c r="BE197" s="157">
        <v>1508900</v>
      </c>
      <c r="BF197" s="157">
        <v>225651</v>
      </c>
      <c r="BG197" s="157"/>
      <c r="BH197" s="155"/>
      <c r="BI197" s="152">
        <v>1014668</v>
      </c>
      <c r="BJ197" s="153">
        <v>1450208</v>
      </c>
      <c r="BK197" s="153">
        <v>577588</v>
      </c>
      <c r="BL197" s="153">
        <v>243234</v>
      </c>
      <c r="BM197" s="153">
        <v>194427</v>
      </c>
      <c r="BN197" s="154">
        <f>SUMIF(BI197:BM197,"&gt;0",BI197:BM197)</f>
        <v>3480125</v>
      </c>
      <c r="BO197" s="156"/>
      <c r="BP197" s="148"/>
      <c r="BQ197" s="153"/>
      <c r="BR197" s="153"/>
      <c r="BS197" s="152">
        <v>3400000</v>
      </c>
      <c r="BT197" s="148">
        <v>1400000</v>
      </c>
      <c r="BU197" s="148">
        <v>0</v>
      </c>
      <c r="BV197" s="148">
        <v>0</v>
      </c>
      <c r="BW197" s="148">
        <v>0</v>
      </c>
      <c r="BX197" s="154">
        <f>SUM(BS197:BW197)</f>
        <v>4800000</v>
      </c>
      <c r="BY197" s="143">
        <f>BI197/BS197</f>
        <v>0.29843176470588234</v>
      </c>
      <c r="BZ197" s="143">
        <f>BJ197/BT197</f>
        <v>1.0358628571428572</v>
      </c>
      <c r="CA197" s="143" t="e">
        <f>BK197/BU197</f>
        <v>#DIV/0!</v>
      </c>
      <c r="CB197" s="143" t="e">
        <f>BL197/BV197</f>
        <v>#DIV/0!</v>
      </c>
      <c r="CC197" s="143" t="e">
        <f>BM197/BW197</f>
        <v>#DIV/0!</v>
      </c>
      <c r="CD197" s="259" t="e">
        <f>AVERAGE(BY197:CC197)</f>
        <v>#DIV/0!</v>
      </c>
    </row>
    <row r="198" spans="1:82" ht="14.5">
      <c r="A198" s="143" t="s">
        <v>583</v>
      </c>
      <c r="B198" s="143" t="s">
        <v>2005</v>
      </c>
      <c r="C198" s="144" t="s">
        <v>837</v>
      </c>
      <c r="D198" s="159" t="s">
        <v>1231</v>
      </c>
      <c r="E198" s="145" t="s">
        <v>838</v>
      </c>
      <c r="F198" s="143" t="str">
        <f>SUBSTITUTE(E198," ","")</f>
        <v>13000668057</v>
      </c>
      <c r="G198" s="143" t="s">
        <v>1979</v>
      </c>
      <c r="H198" s="143" t="s">
        <v>31</v>
      </c>
      <c r="I198" s="143">
        <v>2330</v>
      </c>
      <c r="J198" s="143">
        <v>-32.568122000000002</v>
      </c>
      <c r="K198" s="143">
        <v>150.99142699999999</v>
      </c>
      <c r="L198" s="143">
        <v>2020</v>
      </c>
      <c r="M198" s="143">
        <v>2</v>
      </c>
      <c r="N198" s="143">
        <v>2042</v>
      </c>
      <c r="O198" s="143"/>
      <c r="P198" s="143"/>
      <c r="Q198" s="143" t="s">
        <v>29</v>
      </c>
      <c r="R198" s="143" t="s">
        <v>29</v>
      </c>
      <c r="S198" s="147"/>
      <c r="T198" s="143"/>
      <c r="U198" s="143"/>
      <c r="V198" s="143"/>
      <c r="W198" s="143"/>
      <c r="X198" s="143"/>
      <c r="Y198" s="143"/>
      <c r="Z198" s="143"/>
      <c r="AA198" s="143"/>
      <c r="AB198" s="143"/>
      <c r="AC198" s="143"/>
      <c r="AD198" s="153"/>
      <c r="AE198" s="153"/>
      <c r="AF198" s="143"/>
      <c r="AG198" s="155"/>
      <c r="AH198" s="147" t="s">
        <v>26</v>
      </c>
      <c r="AI198" s="146" t="s">
        <v>69</v>
      </c>
      <c r="AJ198" s="146" t="s">
        <v>1432</v>
      </c>
      <c r="AK198" s="146" t="s">
        <v>33</v>
      </c>
      <c r="AL198" s="143" t="s">
        <v>134</v>
      </c>
      <c r="AM198" s="143"/>
      <c r="AN198" s="143"/>
      <c r="AO198" s="143"/>
      <c r="AP198" s="152" t="s">
        <v>26</v>
      </c>
      <c r="AQ198" s="153" t="s">
        <v>37</v>
      </c>
      <c r="AR198" s="148" t="s">
        <v>1094</v>
      </c>
      <c r="AS198" s="160" t="str">
        <f>IF(BM198&gt;(BJ198*1.1),"yes","no")</f>
        <v>no</v>
      </c>
      <c r="AT198" s="160" t="str">
        <f>IF(BM198&gt;(BI198*1.1),"yes","no")</f>
        <v>no</v>
      </c>
      <c r="AU198" s="154">
        <v>0</v>
      </c>
      <c r="AV198" s="153" t="s">
        <v>1028</v>
      </c>
      <c r="AW198" s="153" t="s">
        <v>106</v>
      </c>
      <c r="AX198" s="153" t="s">
        <v>106</v>
      </c>
      <c r="AY198" s="153" t="s">
        <v>106</v>
      </c>
      <c r="AZ198" s="153" t="s">
        <v>80</v>
      </c>
      <c r="BA198" s="154" t="s">
        <v>80</v>
      </c>
      <c r="BB198" s="152">
        <v>1132078</v>
      </c>
      <c r="BC198" s="153">
        <v>1132078</v>
      </c>
      <c r="BD198" s="153">
        <v>1132078</v>
      </c>
      <c r="BE198" s="157">
        <v>1132078</v>
      </c>
      <c r="BF198" s="157">
        <v>311992</v>
      </c>
      <c r="BG198" s="157"/>
      <c r="BH198" s="155"/>
      <c r="BI198" s="152">
        <v>900734</v>
      </c>
      <c r="BJ198" s="153">
        <v>900780</v>
      </c>
      <c r="BK198" s="153">
        <v>696955</v>
      </c>
      <c r="BL198" s="153">
        <v>562468</v>
      </c>
      <c r="BM198" s="153">
        <v>395641</v>
      </c>
      <c r="BN198" s="154">
        <f>SUMIF(BI198:BM198,"&gt;0",BI198:BM198)</f>
        <v>3456578</v>
      </c>
      <c r="BO198" s="156">
        <v>2160493</v>
      </c>
      <c r="BP198" s="148">
        <v>2160493</v>
      </c>
      <c r="BQ198" s="153">
        <v>2160493</v>
      </c>
      <c r="BR198" s="153">
        <v>2160493</v>
      </c>
      <c r="BS198" s="152">
        <v>8300000</v>
      </c>
      <c r="BT198" s="148">
        <v>7710000</v>
      </c>
      <c r="BU198" s="148">
        <v>7980000</v>
      </c>
      <c r="BV198" s="148">
        <v>6970000</v>
      </c>
      <c r="BW198" s="148">
        <v>1900000</v>
      </c>
      <c r="BX198" s="154">
        <f>SUM(BS198:BW198)</f>
        <v>32860000</v>
      </c>
      <c r="BY198" s="143">
        <f>BI198/BS198</f>
        <v>0.1085221686746988</v>
      </c>
      <c r="BZ198" s="143">
        <f>BJ198/BT198</f>
        <v>0.11683268482490272</v>
      </c>
      <c r="CA198" s="143">
        <f>BK198/BU198</f>
        <v>8.7337719298245617E-2</v>
      </c>
      <c r="CB198" s="143">
        <f>BL198/BV198</f>
        <v>8.0698421807747486E-2</v>
      </c>
      <c r="CC198" s="143">
        <f>BM198/BW198</f>
        <v>0.20823210526315789</v>
      </c>
      <c r="CD198" s="259">
        <f>AVERAGE(BY198:CC198)</f>
        <v>0.1203246199737505</v>
      </c>
    </row>
    <row r="199" spans="1:82" ht="14.5">
      <c r="A199" s="143" t="s">
        <v>444</v>
      </c>
      <c r="B199" s="143" t="s">
        <v>1536</v>
      </c>
      <c r="C199" s="144" t="s">
        <v>734</v>
      </c>
      <c r="D199" s="159" t="s">
        <v>1231</v>
      </c>
      <c r="E199" s="145" t="s">
        <v>735</v>
      </c>
      <c r="F199" s="143" t="str">
        <f>SUBSTITUTE(E199," ","")</f>
        <v>91003135635</v>
      </c>
      <c r="G199" s="143" t="s">
        <v>1537</v>
      </c>
      <c r="H199" s="143" t="s">
        <v>31</v>
      </c>
      <c r="I199" s="143">
        <v>2508</v>
      </c>
      <c r="J199" s="143">
        <v>-34.187767000000001</v>
      </c>
      <c r="K199" s="143">
        <v>150.99210299999999</v>
      </c>
      <c r="L199" s="143">
        <v>1887</v>
      </c>
      <c r="M199" s="143">
        <v>135</v>
      </c>
      <c r="N199" s="143">
        <v>0</v>
      </c>
      <c r="O199" s="143"/>
      <c r="P199" s="143"/>
      <c r="Q199" s="143" t="s">
        <v>29</v>
      </c>
      <c r="R199" s="143" t="s">
        <v>29</v>
      </c>
      <c r="S199" s="147"/>
      <c r="T199" s="143"/>
      <c r="U199" s="143"/>
      <c r="V199" s="143"/>
      <c r="W199" s="143"/>
      <c r="X199" s="143"/>
      <c r="Y199" s="143"/>
      <c r="Z199" s="143"/>
      <c r="AA199" s="143"/>
      <c r="AB199" s="143"/>
      <c r="AC199" s="143"/>
      <c r="AD199" s="153"/>
      <c r="AE199" s="153"/>
      <c r="AF199" s="143"/>
      <c r="AG199" s="155"/>
      <c r="AH199" s="147" t="s">
        <v>26</v>
      </c>
      <c r="AI199" s="146" t="s">
        <v>25</v>
      </c>
      <c r="AJ199" s="146" t="s">
        <v>1189</v>
      </c>
      <c r="AK199" s="146" t="s">
        <v>33</v>
      </c>
      <c r="AL199" s="143" t="s">
        <v>134</v>
      </c>
      <c r="AM199" s="143"/>
      <c r="AN199" s="143"/>
      <c r="AO199" s="143"/>
      <c r="AP199" s="152"/>
      <c r="AQ199" s="153"/>
      <c r="AR199" s="153"/>
      <c r="AS199" s="153"/>
      <c r="AT199" s="153"/>
      <c r="AU199" s="154"/>
      <c r="AV199" s="153" t="s">
        <v>1028</v>
      </c>
      <c r="AW199" s="153" t="s">
        <v>106</v>
      </c>
      <c r="AX199" s="153" t="s">
        <v>106</v>
      </c>
      <c r="AY199" s="153" t="s">
        <v>106</v>
      </c>
      <c r="AZ199" s="153" t="s">
        <v>73</v>
      </c>
      <c r="BA199" s="154" t="s">
        <v>73</v>
      </c>
      <c r="BB199" s="152">
        <v>623806</v>
      </c>
      <c r="BC199" s="153">
        <v>623806</v>
      </c>
      <c r="BD199" s="153">
        <v>623806</v>
      </c>
      <c r="BE199" s="157">
        <v>623806</v>
      </c>
      <c r="BF199" s="157">
        <v>663700</v>
      </c>
      <c r="BG199" s="157"/>
      <c r="BH199" s="155"/>
      <c r="BI199" s="152">
        <v>388070</v>
      </c>
      <c r="BJ199" s="153">
        <v>385853</v>
      </c>
      <c r="BK199" s="153">
        <v>591733</v>
      </c>
      <c r="BL199" s="153">
        <v>526527</v>
      </c>
      <c r="BM199" s="153">
        <v>401341</v>
      </c>
      <c r="BN199" s="154">
        <f>SUMIF(BI199:BM199,"&gt;0",BI199:BM199)</f>
        <v>2293524</v>
      </c>
      <c r="BO199" s="156"/>
      <c r="BP199" s="148"/>
      <c r="BQ199" s="153"/>
      <c r="BR199" s="153"/>
      <c r="BS199" s="152">
        <v>1370574</v>
      </c>
      <c r="BT199" s="148">
        <v>2024404</v>
      </c>
      <c r="BU199" s="148">
        <v>1851831</v>
      </c>
      <c r="BV199" s="148">
        <v>1276496</v>
      </c>
      <c r="BW199" s="148">
        <v>1130139</v>
      </c>
      <c r="BX199" s="154">
        <f>SUM(BS199:BW199)</f>
        <v>7653444</v>
      </c>
      <c r="BY199" s="143">
        <f>BI199/BS199</f>
        <v>0.28314414252714554</v>
      </c>
      <c r="BZ199" s="143">
        <f>BJ199/BT199</f>
        <v>0.19060078917054105</v>
      </c>
      <c r="CA199" s="143">
        <f>BK199/BU199</f>
        <v>0.31953941801384683</v>
      </c>
      <c r="CB199" s="143">
        <f>BL199/BV199</f>
        <v>0.41247837831062534</v>
      </c>
      <c r="CC199" s="143">
        <f>BM199/BW199</f>
        <v>0.35512534298878279</v>
      </c>
      <c r="CD199" s="259">
        <f>AVERAGE(BY199:CC199)</f>
        <v>0.31217761420218831</v>
      </c>
    </row>
    <row r="200" spans="1:82" ht="14.5">
      <c r="A200" s="143" t="s">
        <v>355</v>
      </c>
      <c r="B200" s="143"/>
      <c r="C200" s="144" t="s">
        <v>652</v>
      </c>
      <c r="D200" s="159" t="s">
        <v>1231</v>
      </c>
      <c r="E200" s="145" t="s">
        <v>653</v>
      </c>
      <c r="F200" s="143" t="str">
        <f>SUBSTITUTE(E200," ","")</f>
        <v>65077890932</v>
      </c>
      <c r="G200" s="143" t="s">
        <v>1232</v>
      </c>
      <c r="H200" s="143" t="s">
        <v>53</v>
      </c>
      <c r="I200" s="143">
        <v>4742</v>
      </c>
      <c r="J200" s="143">
        <v>-21.865952</v>
      </c>
      <c r="K200" s="143">
        <v>148.42192399999999</v>
      </c>
      <c r="L200" s="143">
        <v>1998</v>
      </c>
      <c r="M200" s="143">
        <v>24</v>
      </c>
      <c r="N200" s="143">
        <v>0</v>
      </c>
      <c r="O200" s="143"/>
      <c r="P200" s="143"/>
      <c r="Q200" s="143" t="s">
        <v>29</v>
      </c>
      <c r="R200" s="143" t="s">
        <v>29</v>
      </c>
      <c r="S200" s="147"/>
      <c r="T200" s="143"/>
      <c r="U200" s="143"/>
      <c r="V200" s="143"/>
      <c r="W200" s="143"/>
      <c r="X200" s="143"/>
      <c r="Y200" s="143"/>
      <c r="Z200" s="143"/>
      <c r="AA200" s="143"/>
      <c r="AB200" s="143"/>
      <c r="AC200" s="143"/>
      <c r="AD200" s="153"/>
      <c r="AE200" s="153"/>
      <c r="AF200" s="143"/>
      <c r="AG200" s="155"/>
      <c r="AH200" s="147" t="s">
        <v>26</v>
      </c>
      <c r="AI200" s="146" t="s">
        <v>389</v>
      </c>
      <c r="AJ200" s="146" t="s">
        <v>389</v>
      </c>
      <c r="AK200" s="146" t="s">
        <v>21</v>
      </c>
      <c r="AL200" s="143" t="s">
        <v>43</v>
      </c>
      <c r="AM200" s="143"/>
      <c r="AN200" s="143"/>
      <c r="AO200" s="143"/>
      <c r="AP200" s="152"/>
      <c r="AQ200" s="153"/>
      <c r="AR200" s="153"/>
      <c r="AS200" s="153"/>
      <c r="AT200" s="153"/>
      <c r="AU200" s="154"/>
      <c r="AV200" s="153" t="s">
        <v>1028</v>
      </c>
      <c r="AW200" s="153" t="s">
        <v>106</v>
      </c>
      <c r="AX200" s="153" t="s">
        <v>106</v>
      </c>
      <c r="AY200" s="153" t="s">
        <v>106</v>
      </c>
      <c r="AZ200" s="153" t="s">
        <v>73</v>
      </c>
      <c r="BA200" s="154" t="s">
        <v>73</v>
      </c>
      <c r="BB200" s="152">
        <v>255393</v>
      </c>
      <c r="BC200" s="153">
        <v>255393</v>
      </c>
      <c r="BD200" s="153">
        <v>255393</v>
      </c>
      <c r="BE200" s="157">
        <v>255393</v>
      </c>
      <c r="BF200" s="157">
        <v>203763</v>
      </c>
      <c r="BG200" s="157"/>
      <c r="BH200" s="155"/>
      <c r="BI200" s="152">
        <v>144761</v>
      </c>
      <c r="BJ200" s="153">
        <v>184720</v>
      </c>
      <c r="BK200" s="153">
        <v>187629</v>
      </c>
      <c r="BL200" s="153">
        <v>219580</v>
      </c>
      <c r="BM200" s="153">
        <v>171567</v>
      </c>
      <c r="BN200" s="154">
        <f>SUMIF(BI200:BM200,"&gt;0",BI200:BM200)</f>
        <v>908257</v>
      </c>
      <c r="BO200" s="156"/>
      <c r="BP200" s="148"/>
      <c r="BQ200" s="153"/>
      <c r="BR200" s="153"/>
      <c r="BS200" s="152">
        <v>3800000</v>
      </c>
      <c r="BT200" s="148">
        <v>3700000</v>
      </c>
      <c r="BU200" s="148">
        <v>3300000</v>
      </c>
      <c r="BV200" s="148">
        <v>3000000</v>
      </c>
      <c r="BW200" s="148">
        <v>2900000</v>
      </c>
      <c r="BX200" s="154">
        <f>SUM(BS200:BW200)</f>
        <v>16700000</v>
      </c>
      <c r="BY200" s="143">
        <f>BI200/BS200</f>
        <v>3.8094999999999997E-2</v>
      </c>
      <c r="BZ200" s="143">
        <f>BJ200/BT200</f>
        <v>4.9924324324324323E-2</v>
      </c>
      <c r="CA200" s="143">
        <f>BK200/BU200</f>
        <v>5.6857272727272729E-2</v>
      </c>
      <c r="CB200" s="143">
        <f>BL200/BV200</f>
        <v>7.3193333333333332E-2</v>
      </c>
      <c r="CC200" s="143">
        <f>BM200/BW200</f>
        <v>5.9161034482758619E-2</v>
      </c>
      <c r="CD200" s="259">
        <f>AVERAGE(BY200:CC200)</f>
        <v>5.5446192973537797E-2</v>
      </c>
    </row>
    <row r="201" spans="1:82" ht="14.5">
      <c r="A201" s="143" t="s">
        <v>593</v>
      </c>
      <c r="B201" s="143"/>
      <c r="C201" s="144" t="s">
        <v>842</v>
      </c>
      <c r="D201" s="159" t="s">
        <v>1231</v>
      </c>
      <c r="E201" s="145" t="s">
        <v>843</v>
      </c>
      <c r="F201" s="143" t="str">
        <f>SUBSTITUTE(E201," ","")</f>
        <v>87104594694</v>
      </c>
      <c r="G201" s="143" t="s">
        <v>1554</v>
      </c>
      <c r="H201" s="143" t="s">
        <v>31</v>
      </c>
      <c r="I201" s="143">
        <v>2850</v>
      </c>
      <c r="J201" s="143">
        <v>-32.269022999999997</v>
      </c>
      <c r="K201" s="143">
        <v>149.77298099999999</v>
      </c>
      <c r="L201" s="143">
        <v>2006</v>
      </c>
      <c r="M201" s="143">
        <v>16</v>
      </c>
      <c r="N201" s="143">
        <v>0</v>
      </c>
      <c r="O201" s="143"/>
      <c r="P201" s="143"/>
      <c r="Q201" s="143" t="s">
        <v>29</v>
      </c>
      <c r="R201" s="143" t="s">
        <v>29</v>
      </c>
      <c r="S201" s="147"/>
      <c r="T201" s="143"/>
      <c r="U201" s="143"/>
      <c r="V201" s="143"/>
      <c r="W201" s="143"/>
      <c r="X201" s="143"/>
      <c r="Y201" s="143"/>
      <c r="Z201" s="143"/>
      <c r="AA201" s="143"/>
      <c r="AB201" s="143"/>
      <c r="AC201" s="143"/>
      <c r="AD201" s="153"/>
      <c r="AE201" s="153"/>
      <c r="AF201" s="143"/>
      <c r="AG201" s="155"/>
      <c r="AH201" s="147" t="s">
        <v>26</v>
      </c>
      <c r="AI201" s="146" t="s">
        <v>36</v>
      </c>
      <c r="AJ201" s="146" t="s">
        <v>1111</v>
      </c>
      <c r="AK201" s="146" t="s">
        <v>21</v>
      </c>
      <c r="AL201" s="143" t="s">
        <v>134</v>
      </c>
      <c r="AM201" s="143"/>
      <c r="AN201" s="143"/>
      <c r="AO201" s="143"/>
      <c r="AP201" s="152"/>
      <c r="AQ201" s="153"/>
      <c r="AR201" s="153"/>
      <c r="AS201" s="153"/>
      <c r="AT201" s="153"/>
      <c r="AU201" s="154"/>
      <c r="AV201" s="153" t="s">
        <v>1028</v>
      </c>
      <c r="AW201" s="153" t="s">
        <v>106</v>
      </c>
      <c r="AX201" s="153" t="s">
        <v>106</v>
      </c>
      <c r="AY201" s="153" t="s">
        <v>106</v>
      </c>
      <c r="AZ201" s="153" t="s">
        <v>73</v>
      </c>
      <c r="BA201" s="154" t="s">
        <v>73</v>
      </c>
      <c r="BB201" s="152">
        <v>789245</v>
      </c>
      <c r="BC201" s="153">
        <v>789245</v>
      </c>
      <c r="BD201" s="153">
        <v>789245</v>
      </c>
      <c r="BE201" s="157">
        <v>789245</v>
      </c>
      <c r="BF201" s="157">
        <v>208562</v>
      </c>
      <c r="BG201" s="157"/>
      <c r="BH201" s="155"/>
      <c r="BI201" s="152">
        <v>102332</v>
      </c>
      <c r="BJ201" s="153">
        <v>120643</v>
      </c>
      <c r="BK201" s="153">
        <v>132452</v>
      </c>
      <c r="BL201" s="153">
        <v>138594</v>
      </c>
      <c r="BM201" s="153">
        <v>141409</v>
      </c>
      <c r="BN201" s="154">
        <f>SUMIF(BI201:BM201,"&gt;0",BI201:BM201)</f>
        <v>635430</v>
      </c>
      <c r="BO201" s="156">
        <v>145693</v>
      </c>
      <c r="BP201" s="148">
        <v>159071</v>
      </c>
      <c r="BQ201" s="153">
        <v>158334</v>
      </c>
      <c r="BR201" s="153">
        <v>155518</v>
      </c>
      <c r="BS201" s="152">
        <v>13680000</v>
      </c>
      <c r="BT201" s="148">
        <v>14920000</v>
      </c>
      <c r="BU201" s="148">
        <v>15120000</v>
      </c>
      <c r="BV201" s="148">
        <v>14740000</v>
      </c>
      <c r="BW201" s="148">
        <v>14230000</v>
      </c>
      <c r="BX201" s="154">
        <f>SUM(BS201:BW201)</f>
        <v>72690000</v>
      </c>
      <c r="BY201" s="143">
        <f>BI201/BS201</f>
        <v>7.4804093567251463E-3</v>
      </c>
      <c r="BZ201" s="143">
        <f>BJ201/BT201</f>
        <v>8.0859919571045578E-3</v>
      </c>
      <c r="CA201" s="143">
        <f>BK201/BU201</f>
        <v>8.7600529100529106E-3</v>
      </c>
      <c r="CB201" s="143">
        <f>BL201/BV201</f>
        <v>9.4025780189959298E-3</v>
      </c>
      <c r="CC201" s="143">
        <f>BM201/BW201</f>
        <v>9.9373858046380888E-3</v>
      </c>
      <c r="CD201" s="143">
        <f>AVERAGE(BY201:CC201)</f>
        <v>8.733283609503326E-3</v>
      </c>
    </row>
    <row r="202" spans="1:82" ht="14.5">
      <c r="A202" s="143" t="s">
        <v>592</v>
      </c>
      <c r="B202" s="143"/>
      <c r="C202" s="144"/>
      <c r="D202" s="159" t="s">
        <v>1231</v>
      </c>
      <c r="E202" s="145" t="s">
        <v>2031</v>
      </c>
      <c r="F202" s="143" t="str">
        <f>SUBSTITUTE(E202," ","")</f>
        <v>93007683454</v>
      </c>
      <c r="G202" s="143" t="s">
        <v>2032</v>
      </c>
      <c r="H202" s="143" t="s">
        <v>53</v>
      </c>
      <c r="I202" s="143">
        <v>4406</v>
      </c>
      <c r="J202" s="143">
        <v>-27.049167000000001</v>
      </c>
      <c r="K202" s="143">
        <v>150.96</v>
      </c>
      <c r="L202" s="143" t="s">
        <v>292</v>
      </c>
      <c r="M202" s="143" t="s">
        <v>292</v>
      </c>
      <c r="N202" s="143" t="s">
        <v>292</v>
      </c>
      <c r="O202" s="143"/>
      <c r="P202" s="143"/>
      <c r="Q202" s="143" t="s">
        <v>29</v>
      </c>
      <c r="R202" s="143" t="s">
        <v>29</v>
      </c>
      <c r="S202" s="147"/>
      <c r="T202" s="143"/>
      <c r="U202" s="143"/>
      <c r="V202" s="143"/>
      <c r="W202" s="143"/>
      <c r="X202" s="143"/>
      <c r="Y202" s="143"/>
      <c r="Z202" s="143"/>
      <c r="AA202" s="143"/>
      <c r="AB202" s="143"/>
      <c r="AC202" s="143"/>
      <c r="AD202" s="153"/>
      <c r="AE202" s="153"/>
      <c r="AF202" s="143"/>
      <c r="AG202" s="155"/>
      <c r="AH202" s="147" t="s">
        <v>26</v>
      </c>
      <c r="AI202" s="146" t="s">
        <v>36</v>
      </c>
      <c r="AJ202" s="146" t="s">
        <v>1111</v>
      </c>
      <c r="AK202" s="146" t="s">
        <v>21</v>
      </c>
      <c r="AL202" s="146" t="s">
        <v>132</v>
      </c>
      <c r="AM202" s="143"/>
      <c r="AN202" s="143"/>
      <c r="AO202" s="143"/>
      <c r="AP202" s="152"/>
      <c r="AQ202" s="153"/>
      <c r="AR202" s="153"/>
      <c r="AS202" s="153"/>
      <c r="AT202" s="153"/>
      <c r="AU202" s="154"/>
      <c r="AV202" s="153" t="s">
        <v>106</v>
      </c>
      <c r="AW202" s="153" t="s">
        <v>106</v>
      </c>
      <c r="AX202" s="153" t="s">
        <v>106</v>
      </c>
      <c r="AY202" s="153" t="s">
        <v>106</v>
      </c>
      <c r="AZ202" s="153" t="s">
        <v>106</v>
      </c>
      <c r="BA202" s="154" t="s">
        <v>114</v>
      </c>
      <c r="BB202" s="152">
        <v>122356</v>
      </c>
      <c r="BC202" s="153">
        <v>122356</v>
      </c>
      <c r="BD202" s="153">
        <v>122356</v>
      </c>
      <c r="BE202" s="153">
        <v>122356</v>
      </c>
      <c r="BF202" s="153">
        <v>122356</v>
      </c>
      <c r="BG202" s="157"/>
      <c r="BH202" s="155"/>
      <c r="BI202" s="152" t="s">
        <v>920</v>
      </c>
      <c r="BJ202" s="153" t="s">
        <v>920</v>
      </c>
      <c r="BK202" s="153" t="s">
        <v>920</v>
      </c>
      <c r="BL202" s="153" t="s">
        <v>920</v>
      </c>
      <c r="BM202" s="153" t="s">
        <v>920</v>
      </c>
      <c r="BN202" s="154">
        <f>SUMIF(BI202:BM202,"&gt;0",BI202:BM202)</f>
        <v>0</v>
      </c>
      <c r="BO202" s="156"/>
      <c r="BP202" s="148"/>
      <c r="BQ202" s="153"/>
      <c r="BR202" s="153"/>
      <c r="BS202" s="156" t="s">
        <v>1096</v>
      </c>
      <c r="BT202" s="148" t="s">
        <v>1096</v>
      </c>
      <c r="BU202" s="148" t="s">
        <v>1096</v>
      </c>
      <c r="BV202" s="148" t="s">
        <v>1096</v>
      </c>
      <c r="BW202" s="148" t="s">
        <v>1096</v>
      </c>
      <c r="BX202" s="154">
        <f>SUM(BS202:BW202)</f>
        <v>0</v>
      </c>
      <c r="BY202" s="143" t="e">
        <f>BI202/BS202</f>
        <v>#VALUE!</v>
      </c>
      <c r="BZ202" s="143" t="e">
        <f>BJ202/BT202</f>
        <v>#VALUE!</v>
      </c>
      <c r="CA202" s="143" t="e">
        <f>BK202/BU202</f>
        <v>#VALUE!</v>
      </c>
      <c r="CB202" s="143" t="e">
        <f>BL202/BV202</f>
        <v>#VALUE!</v>
      </c>
      <c r="CC202" s="143" t="e">
        <f>BM202/BW202</f>
        <v>#VALUE!</v>
      </c>
      <c r="CD202" s="143" t="e">
        <f>AVERAGE(BY202:CC202)</f>
        <v>#VALUE!</v>
      </c>
    </row>
    <row r="203" spans="1:82" ht="14.5">
      <c r="A203" s="143" t="s">
        <v>453</v>
      </c>
      <c r="B203" s="143"/>
      <c r="C203" s="144" t="s">
        <v>652</v>
      </c>
      <c r="D203" s="159" t="s">
        <v>1568</v>
      </c>
      <c r="E203" s="145" t="s">
        <v>653</v>
      </c>
      <c r="F203" s="143" t="str">
        <f>SUBSTITUTE(E203," ","")</f>
        <v>65077890932</v>
      </c>
      <c r="G203" s="143" t="s">
        <v>1232</v>
      </c>
      <c r="H203" s="143" t="s">
        <v>53</v>
      </c>
      <c r="I203" s="143">
        <v>4742</v>
      </c>
      <c r="J203" s="143">
        <v>-21.985299999999999</v>
      </c>
      <c r="K203" s="143">
        <v>148.35718499999999</v>
      </c>
      <c r="L203" s="143">
        <v>2002</v>
      </c>
      <c r="M203" s="143">
        <v>20</v>
      </c>
      <c r="N203" s="143">
        <v>0</v>
      </c>
      <c r="O203" s="143"/>
      <c r="P203" s="143"/>
      <c r="Q203" s="143" t="s">
        <v>29</v>
      </c>
      <c r="R203" s="143" t="s">
        <v>29</v>
      </c>
      <c r="S203" s="147"/>
      <c r="T203" s="143"/>
      <c r="U203" s="143"/>
      <c r="V203" s="143"/>
      <c r="W203" s="143"/>
      <c r="X203" s="143"/>
      <c r="Y203" s="143"/>
      <c r="Z203" s="143"/>
      <c r="AA203" s="143"/>
      <c r="AB203" s="143"/>
      <c r="AC203" s="143"/>
      <c r="AD203" s="153"/>
      <c r="AE203" s="153"/>
      <c r="AF203" s="143"/>
      <c r="AG203" s="155"/>
      <c r="AH203" s="147" t="s">
        <v>26</v>
      </c>
      <c r="AI203" s="146" t="s">
        <v>69</v>
      </c>
      <c r="AJ203" s="146" t="s">
        <v>1569</v>
      </c>
      <c r="AK203" s="146" t="s">
        <v>21</v>
      </c>
      <c r="AL203" s="143" t="s">
        <v>43</v>
      </c>
      <c r="AM203" s="143"/>
      <c r="AN203" s="143"/>
      <c r="AO203" s="143"/>
      <c r="AP203" s="152"/>
      <c r="AQ203" s="153"/>
      <c r="AR203" s="153"/>
      <c r="AS203" s="153"/>
      <c r="AT203" s="153"/>
      <c r="AU203" s="154"/>
      <c r="AV203" s="153" t="s">
        <v>1028</v>
      </c>
      <c r="AW203" s="153" t="s">
        <v>106</v>
      </c>
      <c r="AX203" s="153" t="s">
        <v>106</v>
      </c>
      <c r="AY203" s="153" t="s">
        <v>106</v>
      </c>
      <c r="AZ203" s="153" t="s">
        <v>73</v>
      </c>
      <c r="BA203" s="154" t="s">
        <v>73</v>
      </c>
      <c r="BB203" s="152">
        <v>166211</v>
      </c>
      <c r="BC203" s="153">
        <v>166211</v>
      </c>
      <c r="BD203" s="153">
        <v>166211</v>
      </c>
      <c r="BE203" s="157">
        <v>166211</v>
      </c>
      <c r="BF203" s="157">
        <v>239233</v>
      </c>
      <c r="BG203" s="157"/>
      <c r="BH203" s="155"/>
      <c r="BI203" s="152">
        <v>106430</v>
      </c>
      <c r="BJ203" s="153">
        <v>172914</v>
      </c>
      <c r="BK203" s="153">
        <v>155651</v>
      </c>
      <c r="BL203" s="153">
        <v>136903</v>
      </c>
      <c r="BM203" s="153">
        <v>111734</v>
      </c>
      <c r="BN203" s="154">
        <f>SUMIF(BI203:BM203,"&gt;0",BI203:BM203)</f>
        <v>683632</v>
      </c>
      <c r="BO203" s="156">
        <v>88025</v>
      </c>
      <c r="BP203" s="148">
        <v>88025</v>
      </c>
      <c r="BQ203" s="153">
        <v>88025</v>
      </c>
      <c r="BR203" s="153">
        <v>88025</v>
      </c>
      <c r="BS203" s="152">
        <v>2500000</v>
      </c>
      <c r="BT203" s="148">
        <v>2900000</v>
      </c>
      <c r="BU203" s="148">
        <v>2300000</v>
      </c>
      <c r="BV203" s="148">
        <v>1600000</v>
      </c>
      <c r="BW203" s="148">
        <v>1800000</v>
      </c>
      <c r="BX203" s="154">
        <f>SUM(BS203:BW203)</f>
        <v>11100000</v>
      </c>
      <c r="BY203" s="143">
        <f>BI203/BS203</f>
        <v>4.2571999999999999E-2</v>
      </c>
      <c r="BZ203" s="143">
        <f>BJ203/BT203</f>
        <v>5.9625517241379308E-2</v>
      </c>
      <c r="CA203" s="143">
        <f>BK203/BU203</f>
        <v>6.7674347826086959E-2</v>
      </c>
      <c r="CB203" s="143">
        <f>BL203/BV203</f>
        <v>8.5564374999999998E-2</v>
      </c>
      <c r="CC203" s="143">
        <f>BM203/BW203</f>
        <v>6.2074444444444446E-2</v>
      </c>
      <c r="CD203" s="143">
        <f>AVERAGE(BY203:CC203)</f>
        <v>6.3502136902382128E-2</v>
      </c>
    </row>
    <row r="204" spans="1:82" ht="14.5">
      <c r="A204" s="143" t="s">
        <v>445</v>
      </c>
      <c r="B204" s="143"/>
      <c r="C204" s="144" t="s">
        <v>736</v>
      </c>
      <c r="D204" s="159" t="s">
        <v>1538</v>
      </c>
      <c r="E204" s="145" t="s">
        <v>737</v>
      </c>
      <c r="F204" s="143" t="str">
        <f>SUBSTITUTE(E204," ","")</f>
        <v>49122348412</v>
      </c>
      <c r="G204" s="143" t="s">
        <v>1168</v>
      </c>
      <c r="H204" s="143" t="s">
        <v>53</v>
      </c>
      <c r="I204" s="143">
        <v>4746</v>
      </c>
      <c r="J204" s="143">
        <v>-22.8626364667</v>
      </c>
      <c r="K204" s="143">
        <v>148.64855521000001</v>
      </c>
      <c r="L204" s="143">
        <v>2011</v>
      </c>
      <c r="M204" s="143">
        <v>11</v>
      </c>
      <c r="N204" s="143">
        <v>2041</v>
      </c>
      <c r="O204" s="143" t="s">
        <v>55</v>
      </c>
      <c r="P204" s="143" t="s">
        <v>1539</v>
      </c>
      <c r="Q204" s="143" t="s">
        <v>29</v>
      </c>
      <c r="R204" s="143" t="s">
        <v>29</v>
      </c>
      <c r="S204" s="147"/>
      <c r="T204" s="143"/>
      <c r="U204" s="143"/>
      <c r="V204" s="143"/>
      <c r="W204" s="143"/>
      <c r="X204" s="143"/>
      <c r="Y204" s="143"/>
      <c r="Z204" s="143"/>
      <c r="AA204" s="143"/>
      <c r="AB204" s="143"/>
      <c r="AC204" s="143"/>
      <c r="AD204" s="153"/>
      <c r="AE204" s="153"/>
      <c r="AF204" s="143"/>
      <c r="AG204" s="155"/>
      <c r="AH204" s="147" t="s">
        <v>26</v>
      </c>
      <c r="AI204" s="146" t="s">
        <v>389</v>
      </c>
      <c r="AJ204" s="146" t="s">
        <v>1540</v>
      </c>
      <c r="AK204" s="146" t="s">
        <v>21</v>
      </c>
      <c r="AL204" s="143" t="s">
        <v>43</v>
      </c>
      <c r="AM204" s="143"/>
      <c r="AN204" s="143"/>
      <c r="AO204" s="143"/>
      <c r="AP204" s="152"/>
      <c r="AQ204" s="153"/>
      <c r="AR204" s="153"/>
      <c r="AS204" s="153"/>
      <c r="AT204" s="153"/>
      <c r="AU204" s="154"/>
      <c r="AV204" s="153" t="s">
        <v>1028</v>
      </c>
      <c r="AW204" s="153" t="s">
        <v>18</v>
      </c>
      <c r="AX204" s="153" t="s">
        <v>18</v>
      </c>
      <c r="AY204" s="153" t="s">
        <v>18</v>
      </c>
      <c r="AZ204" s="153" t="s">
        <v>73</v>
      </c>
      <c r="BA204" s="154" t="s">
        <v>73</v>
      </c>
      <c r="BB204" s="152">
        <v>222198</v>
      </c>
      <c r="BC204" s="153">
        <v>286606</v>
      </c>
      <c r="BD204" s="153">
        <v>286606</v>
      </c>
      <c r="BE204" s="157">
        <v>286606</v>
      </c>
      <c r="BF204" s="157">
        <v>268480</v>
      </c>
      <c r="BG204" s="157"/>
      <c r="BH204" s="155"/>
      <c r="BI204" s="152">
        <v>245020</v>
      </c>
      <c r="BJ204" s="153">
        <v>273005</v>
      </c>
      <c r="BK204" s="153">
        <v>255670</v>
      </c>
      <c r="BL204" s="153">
        <v>214732</v>
      </c>
      <c r="BM204" s="153">
        <v>255612</v>
      </c>
      <c r="BN204" s="154">
        <f>SUMIF(BI204:BM204,"&gt;0",BI204:BM204)</f>
        <v>1244039</v>
      </c>
      <c r="BO204" s="156"/>
      <c r="BP204" s="148"/>
      <c r="BQ204" s="153"/>
      <c r="BR204" s="153">
        <v>299692</v>
      </c>
      <c r="BS204" s="152">
        <v>5300000</v>
      </c>
      <c r="BT204" s="148">
        <v>4800000</v>
      </c>
      <c r="BU204" s="148">
        <v>3400000</v>
      </c>
      <c r="BV204" s="148">
        <v>4000000</v>
      </c>
      <c r="BW204" s="148">
        <v>4800000</v>
      </c>
      <c r="BX204" s="154">
        <f>SUM(BS204:BW204)</f>
        <v>22300000</v>
      </c>
      <c r="BY204" s="143">
        <f>BI204/BS204</f>
        <v>4.6230188679245283E-2</v>
      </c>
      <c r="BZ204" s="143">
        <f>BJ204/BT204</f>
        <v>5.6876041666666668E-2</v>
      </c>
      <c r="CA204" s="143">
        <f>BK204/BU204</f>
        <v>7.5197058823529409E-2</v>
      </c>
      <c r="CB204" s="143">
        <f>BL204/BV204</f>
        <v>5.3683000000000002E-2</v>
      </c>
      <c r="CC204" s="143">
        <f>BM204/BW204</f>
        <v>5.3252500000000001E-2</v>
      </c>
      <c r="CD204" s="143">
        <f>AVERAGE(BY204:CC204)</f>
        <v>5.7047757833888282E-2</v>
      </c>
    </row>
    <row r="205" spans="1:82" ht="14.5">
      <c r="A205" s="143" t="s">
        <v>513</v>
      </c>
      <c r="B205" s="143" t="s">
        <v>997</v>
      </c>
      <c r="C205" s="144" t="s">
        <v>1772</v>
      </c>
      <c r="D205" s="144" t="s">
        <v>1773</v>
      </c>
      <c r="E205" s="145" t="s">
        <v>1774</v>
      </c>
      <c r="F205" s="143" t="str">
        <f>SUBSTITUTE(E205," ","")</f>
        <v>16009661901</v>
      </c>
      <c r="G205" s="143" t="s">
        <v>292</v>
      </c>
      <c r="H205" s="143" t="s">
        <v>292</v>
      </c>
      <c r="I205" s="143" t="s">
        <v>292</v>
      </c>
      <c r="J205" s="143" t="s">
        <v>292</v>
      </c>
      <c r="K205" s="143" t="s">
        <v>292</v>
      </c>
      <c r="L205" s="143" t="s">
        <v>292</v>
      </c>
      <c r="M205" s="143" t="s">
        <v>292</v>
      </c>
      <c r="N205" s="143" t="s">
        <v>292</v>
      </c>
      <c r="O205" s="143"/>
      <c r="P205" s="143"/>
      <c r="Q205" s="143" t="s">
        <v>137</v>
      </c>
      <c r="R205" s="143" t="s">
        <v>72</v>
      </c>
      <c r="S205" s="147" t="s">
        <v>612</v>
      </c>
      <c r="T205" s="143">
        <v>1</v>
      </c>
      <c r="U205" s="143" t="s">
        <v>1775</v>
      </c>
      <c r="V205" s="143" t="s">
        <v>1776</v>
      </c>
      <c r="W205" s="143" t="s">
        <v>1777</v>
      </c>
      <c r="X205" s="143" t="s">
        <v>1069</v>
      </c>
      <c r="Y205" s="143" t="s">
        <v>1778</v>
      </c>
      <c r="Z205" s="143" t="s">
        <v>1779</v>
      </c>
      <c r="AA205" s="168">
        <v>42072</v>
      </c>
      <c r="AB205" s="153">
        <v>0</v>
      </c>
      <c r="AC205" s="153" t="s">
        <v>1044</v>
      </c>
      <c r="AD205" s="153"/>
      <c r="AE205" s="153"/>
      <c r="AF205" s="143" t="s">
        <v>1072</v>
      </c>
      <c r="AG205" s="155" t="s">
        <v>1780</v>
      </c>
      <c r="AH205" s="150" t="s">
        <v>37</v>
      </c>
      <c r="AI205" s="151" t="s">
        <v>76</v>
      </c>
      <c r="AJ205" s="151" t="s">
        <v>70</v>
      </c>
      <c r="AK205" s="151" t="s">
        <v>70</v>
      </c>
      <c r="AL205" s="151" t="s">
        <v>118</v>
      </c>
      <c r="AM205" s="151" t="s">
        <v>70</v>
      </c>
      <c r="AN205" s="151" t="s">
        <v>70</v>
      </c>
      <c r="AO205" s="151" t="s">
        <v>70</v>
      </c>
      <c r="AP205" s="152"/>
      <c r="AQ205" s="153"/>
      <c r="AR205" s="153"/>
      <c r="AS205" s="153"/>
      <c r="AT205" s="153"/>
      <c r="AU205" s="154"/>
      <c r="AV205" s="153" t="s">
        <v>1028</v>
      </c>
      <c r="AW205" s="153" t="s">
        <v>106</v>
      </c>
      <c r="AX205" s="153" t="s">
        <v>106</v>
      </c>
      <c r="AY205" s="153" t="s">
        <v>106</v>
      </c>
      <c r="AZ205" s="153" t="s">
        <v>106</v>
      </c>
      <c r="BA205" s="154" t="s">
        <v>114</v>
      </c>
      <c r="BB205" s="152">
        <v>4698510</v>
      </c>
      <c r="BC205" s="153">
        <v>4698510</v>
      </c>
      <c r="BD205" s="153">
        <v>4698510</v>
      </c>
      <c r="BE205" s="157">
        <v>4698510</v>
      </c>
      <c r="BF205" s="157">
        <v>4693619</v>
      </c>
      <c r="BG205" s="157"/>
      <c r="BH205" s="155"/>
      <c r="BI205" s="152">
        <v>4362435</v>
      </c>
      <c r="BJ205" s="153">
        <v>4315195</v>
      </c>
      <c r="BK205" s="153">
        <v>4289414</v>
      </c>
      <c r="BL205" s="153">
        <v>3354498</v>
      </c>
      <c r="BM205" s="153">
        <v>2466674</v>
      </c>
      <c r="BN205" s="154">
        <f>SUMIF(BI205:BM205,"&gt;0",BI205:BM205)</f>
        <v>18788216</v>
      </c>
      <c r="BO205" s="156"/>
      <c r="BP205" s="148"/>
      <c r="BQ205" s="153"/>
      <c r="BR205" s="153"/>
      <c r="BS205" s="152"/>
      <c r="BT205" s="148"/>
      <c r="BU205" s="148"/>
      <c r="BV205" s="148"/>
      <c r="BW205" s="148"/>
      <c r="BX205" s="154">
        <f>SUM(BS205:BW205)</f>
        <v>0</v>
      </c>
      <c r="BY205" s="143"/>
      <c r="BZ205" s="143"/>
      <c r="CA205" s="143"/>
      <c r="CB205" s="143"/>
      <c r="CC205" s="143"/>
      <c r="CD205" s="259"/>
    </row>
    <row r="206" spans="1:82" ht="14.5">
      <c r="A206" s="143" t="s">
        <v>550</v>
      </c>
      <c r="B206" s="143" t="s">
        <v>1904</v>
      </c>
      <c r="C206" s="144" t="s">
        <v>1905</v>
      </c>
      <c r="D206" s="144" t="s">
        <v>1906</v>
      </c>
      <c r="E206" s="145" t="s">
        <v>1907</v>
      </c>
      <c r="F206" s="143" t="str">
        <f>SUBSTITUTE(E206," ","")</f>
        <v>96124677443</v>
      </c>
      <c r="G206" s="143" t="s">
        <v>1226</v>
      </c>
      <c r="H206" s="143" t="s">
        <v>53</v>
      </c>
      <c r="I206" s="143">
        <v>4804</v>
      </c>
      <c r="J206" s="143">
        <v>-20.638000000000002</v>
      </c>
      <c r="K206" s="143">
        <v>147.85599999999999</v>
      </c>
      <c r="L206" s="143" t="s">
        <v>292</v>
      </c>
      <c r="M206" s="143" t="s">
        <v>292</v>
      </c>
      <c r="N206" s="143" t="s">
        <v>292</v>
      </c>
      <c r="O206" s="143"/>
      <c r="P206" s="143"/>
      <c r="Q206" s="143" t="s">
        <v>29</v>
      </c>
      <c r="R206" s="143" t="s">
        <v>29</v>
      </c>
      <c r="S206" s="147"/>
      <c r="T206" s="143"/>
      <c r="U206" s="143"/>
      <c r="V206" s="143"/>
      <c r="W206" s="143"/>
      <c r="X206" s="143"/>
      <c r="Y206" s="143"/>
      <c r="Z206" s="143"/>
      <c r="AA206" s="143"/>
      <c r="AB206" s="143"/>
      <c r="AC206" s="143"/>
      <c r="AD206" s="153"/>
      <c r="AE206" s="153"/>
      <c r="AF206" s="143"/>
      <c r="AG206" s="155"/>
      <c r="AH206" s="147" t="s">
        <v>26</v>
      </c>
      <c r="AI206" s="146" t="s">
        <v>69</v>
      </c>
      <c r="AJ206" s="146" t="s">
        <v>1908</v>
      </c>
      <c r="AK206" s="146" t="s">
        <v>21</v>
      </c>
      <c r="AL206" s="146" t="s">
        <v>43</v>
      </c>
      <c r="AM206" s="143"/>
      <c r="AN206" s="143"/>
      <c r="AO206" s="143"/>
      <c r="AP206" s="152"/>
      <c r="AQ206" s="153"/>
      <c r="AR206" s="153"/>
      <c r="AS206" s="153"/>
      <c r="AT206" s="153"/>
      <c r="AU206" s="154"/>
      <c r="AV206" s="153" t="s">
        <v>106</v>
      </c>
      <c r="AW206" s="153" t="s">
        <v>106</v>
      </c>
      <c r="AX206" s="153" t="s">
        <v>106</v>
      </c>
      <c r="AY206" s="153" t="s">
        <v>106</v>
      </c>
      <c r="AZ206" s="153" t="s">
        <v>106</v>
      </c>
      <c r="BA206" s="154" t="s">
        <v>114</v>
      </c>
      <c r="BB206" s="152">
        <v>215840</v>
      </c>
      <c r="BC206" s="153">
        <v>215840</v>
      </c>
      <c r="BD206" s="153">
        <v>215840</v>
      </c>
      <c r="BE206" s="153">
        <v>215840</v>
      </c>
      <c r="BF206" s="153">
        <v>215840</v>
      </c>
      <c r="BG206" s="157"/>
      <c r="BH206" s="155"/>
      <c r="BI206" s="152" t="s">
        <v>920</v>
      </c>
      <c r="BJ206" s="153" t="s">
        <v>920</v>
      </c>
      <c r="BK206" s="153" t="s">
        <v>920</v>
      </c>
      <c r="BL206" s="153" t="s">
        <v>920</v>
      </c>
      <c r="BM206" s="153" t="s">
        <v>920</v>
      </c>
      <c r="BN206" s="154">
        <f>SUMIF(BI206:BM206,"&gt;0",BI206:BM206)</f>
        <v>0</v>
      </c>
      <c r="BO206" s="156"/>
      <c r="BP206" s="148"/>
      <c r="BQ206" s="153"/>
      <c r="BR206" s="153"/>
      <c r="BS206" s="156" t="s">
        <v>1096</v>
      </c>
      <c r="BT206" s="148" t="s">
        <v>1096</v>
      </c>
      <c r="BU206" s="148" t="s">
        <v>1096</v>
      </c>
      <c r="BV206" s="148" t="s">
        <v>1096</v>
      </c>
      <c r="BW206" s="148" t="s">
        <v>1096</v>
      </c>
      <c r="BX206" s="154">
        <f>SUM(BS206:BW206)</f>
        <v>0</v>
      </c>
      <c r="BY206" s="143" t="e">
        <f>BI206/BS206</f>
        <v>#VALUE!</v>
      </c>
      <c r="BZ206" s="143" t="e">
        <f>BJ206/BT206</f>
        <v>#VALUE!</v>
      </c>
      <c r="CA206" s="143" t="e">
        <f>BK206/BU206</f>
        <v>#VALUE!</v>
      </c>
      <c r="CB206" s="143" t="e">
        <f>BL206/BV206</f>
        <v>#VALUE!</v>
      </c>
      <c r="CC206" s="143" t="e">
        <f>BM206/BW206</f>
        <v>#VALUE!</v>
      </c>
      <c r="CD206" s="143" t="e">
        <f>AVERAGE(BY206:CC206)</f>
        <v>#VALUE!</v>
      </c>
    </row>
    <row r="207" spans="1:82" ht="14.5">
      <c r="A207" s="143" t="s">
        <v>390</v>
      </c>
      <c r="B207" s="143" t="s">
        <v>1347</v>
      </c>
      <c r="C207" s="144" t="s">
        <v>681</v>
      </c>
      <c r="D207" s="144" t="s">
        <v>1348</v>
      </c>
      <c r="E207" s="145" t="s">
        <v>682</v>
      </c>
      <c r="F207" s="143" t="str">
        <f>SUBSTITUTE(E207," ","")</f>
        <v>27089726492</v>
      </c>
      <c r="G207" s="143" t="s">
        <v>1168</v>
      </c>
      <c r="H207" s="143" t="s">
        <v>53</v>
      </c>
      <c r="I207" s="143">
        <v>4746</v>
      </c>
      <c r="J207" s="143">
        <v>-22.983470000000001</v>
      </c>
      <c r="K207" s="143">
        <v>148.77842999999999</v>
      </c>
      <c r="L207" s="143">
        <v>1999</v>
      </c>
      <c r="M207" s="143">
        <v>23</v>
      </c>
      <c r="N207" s="143">
        <v>2031</v>
      </c>
      <c r="O207" s="143"/>
      <c r="P207" s="143"/>
      <c r="Q207" s="143" t="s">
        <v>29</v>
      </c>
      <c r="R207" s="143" t="s">
        <v>29</v>
      </c>
      <c r="S207" s="147"/>
      <c r="T207" s="143"/>
      <c r="U207" s="143"/>
      <c r="V207" s="143"/>
      <c r="W207" s="143"/>
      <c r="X207" s="143"/>
      <c r="Y207" s="143"/>
      <c r="Z207" s="143"/>
      <c r="AA207" s="143"/>
      <c r="AB207" s="143"/>
      <c r="AC207" s="143"/>
      <c r="AD207" s="153"/>
      <c r="AE207" s="153"/>
      <c r="AF207" s="143"/>
      <c r="AG207" s="155"/>
      <c r="AH207" s="147" t="s">
        <v>26</v>
      </c>
      <c r="AI207" s="146" t="s">
        <v>36</v>
      </c>
      <c r="AJ207" s="146" t="s">
        <v>1349</v>
      </c>
      <c r="AK207" s="146" t="s">
        <v>21</v>
      </c>
      <c r="AL207" s="143" t="s">
        <v>43</v>
      </c>
      <c r="AM207" s="143"/>
      <c r="AN207" s="143"/>
      <c r="AO207" s="143"/>
      <c r="AP207" s="152"/>
      <c r="AQ207" s="153"/>
      <c r="AR207" s="153"/>
      <c r="AS207" s="153"/>
      <c r="AT207" s="153"/>
      <c r="AU207" s="154"/>
      <c r="AV207" s="153" t="s">
        <v>106</v>
      </c>
      <c r="AW207" s="153" t="s">
        <v>106</v>
      </c>
      <c r="AX207" s="153" t="s">
        <v>73</v>
      </c>
      <c r="AY207" s="153" t="s">
        <v>73</v>
      </c>
      <c r="AZ207" s="153" t="s">
        <v>73</v>
      </c>
      <c r="BA207" s="154" t="s">
        <v>73</v>
      </c>
      <c r="BB207" s="152">
        <v>180629</v>
      </c>
      <c r="BC207" s="153">
        <v>180629</v>
      </c>
      <c r="BD207" s="153">
        <v>255741</v>
      </c>
      <c r="BE207" s="157">
        <v>255741</v>
      </c>
      <c r="BF207" s="157">
        <v>281190</v>
      </c>
      <c r="BG207" s="157"/>
      <c r="BH207" s="155"/>
      <c r="BI207" s="152" t="s">
        <v>920</v>
      </c>
      <c r="BJ207" s="153">
        <v>181850</v>
      </c>
      <c r="BK207" s="153">
        <v>225384</v>
      </c>
      <c r="BL207" s="153">
        <v>200394</v>
      </c>
      <c r="BM207" s="153">
        <v>181815</v>
      </c>
      <c r="BN207" s="154">
        <f>SUMIF(BI207:BM207,"&gt;0",BI207:BM207)</f>
        <v>789443</v>
      </c>
      <c r="BO207" s="156"/>
      <c r="BP207" s="148">
        <v>183605</v>
      </c>
      <c r="BQ207" s="153">
        <v>183605</v>
      </c>
      <c r="BR207" s="153">
        <v>183605</v>
      </c>
      <c r="BS207" s="152">
        <v>4027000</v>
      </c>
      <c r="BT207" s="148">
        <v>2938000</v>
      </c>
      <c r="BU207" s="148">
        <v>4081000</v>
      </c>
      <c r="BV207" s="148">
        <v>3703000</v>
      </c>
      <c r="BW207" s="148">
        <v>3102000</v>
      </c>
      <c r="BX207" s="154">
        <f>SUM(BS207:BW207)</f>
        <v>17851000</v>
      </c>
      <c r="BY207" s="143" t="e">
        <f>BI207/BS207</f>
        <v>#VALUE!</v>
      </c>
      <c r="BZ207" s="143">
        <f>BJ207/BT207</f>
        <v>6.1895847515316543E-2</v>
      </c>
      <c r="CA207" s="143">
        <f>BK207/BU207</f>
        <v>5.522764028424406E-2</v>
      </c>
      <c r="CB207" s="143">
        <f>BL207/BV207</f>
        <v>5.4116662165811506E-2</v>
      </c>
      <c r="CC207" s="143">
        <f>BM207/BW207</f>
        <v>5.8612185686653773E-2</v>
      </c>
      <c r="CD207" s="259" t="e">
        <f>AVERAGE(BY207:CC207)</f>
        <v>#VALUE!</v>
      </c>
    </row>
    <row r="208" spans="1:82" ht="14.5">
      <c r="A208" s="143" t="s">
        <v>495</v>
      </c>
      <c r="B208" s="143" t="s">
        <v>1712</v>
      </c>
      <c r="C208" s="144" t="s">
        <v>1713</v>
      </c>
      <c r="D208" s="144" t="s">
        <v>1714</v>
      </c>
      <c r="E208" s="145" t="s">
        <v>1715</v>
      </c>
      <c r="F208" s="143" t="str">
        <f>SUBSTITUTE(E208," ","")</f>
        <v>14054117921</v>
      </c>
      <c r="G208" s="143" t="s">
        <v>1716</v>
      </c>
      <c r="H208" s="143" t="s">
        <v>53</v>
      </c>
      <c r="I208" s="143">
        <v>4818</v>
      </c>
      <c r="J208" s="143">
        <v>-19.200165999999999</v>
      </c>
      <c r="K208" s="143">
        <v>146.61331000000001</v>
      </c>
      <c r="L208" s="143">
        <v>1974</v>
      </c>
      <c r="M208" s="143">
        <v>48</v>
      </c>
      <c r="N208" s="143" t="s">
        <v>292</v>
      </c>
      <c r="O208" s="143" t="s">
        <v>55</v>
      </c>
      <c r="P208" s="143" t="s">
        <v>1717</v>
      </c>
      <c r="Q208" s="143" t="s">
        <v>176</v>
      </c>
      <c r="R208" s="143" t="s">
        <v>72</v>
      </c>
      <c r="S208" s="147"/>
      <c r="T208" s="143"/>
      <c r="U208" s="143"/>
      <c r="V208" s="143"/>
      <c r="W208" s="143"/>
      <c r="X208" s="143"/>
      <c r="Y208" s="143"/>
      <c r="Z208" s="143"/>
      <c r="AA208" s="143"/>
      <c r="AB208" s="143"/>
      <c r="AC208" s="143"/>
      <c r="AD208" s="153"/>
      <c r="AE208" s="153"/>
      <c r="AF208" s="143"/>
      <c r="AG208" s="155"/>
      <c r="AH208" s="150" t="s">
        <v>37</v>
      </c>
      <c r="AI208" s="151" t="s">
        <v>76</v>
      </c>
      <c r="AJ208" s="151" t="s">
        <v>70</v>
      </c>
      <c r="AK208" s="151" t="s">
        <v>70</v>
      </c>
      <c r="AL208" s="151" t="s">
        <v>118</v>
      </c>
      <c r="AM208" s="151" t="s">
        <v>70</v>
      </c>
      <c r="AN208" s="151" t="s">
        <v>70</v>
      </c>
      <c r="AO208" s="151" t="s">
        <v>70</v>
      </c>
      <c r="AP208" s="152"/>
      <c r="AQ208" s="153"/>
      <c r="AR208" s="153"/>
      <c r="AS208" s="153"/>
      <c r="AT208" s="153"/>
      <c r="AU208" s="154"/>
      <c r="AV208" s="153" t="s">
        <v>106</v>
      </c>
      <c r="AW208" s="153" t="s">
        <v>106</v>
      </c>
      <c r="AX208" s="153" t="s">
        <v>106</v>
      </c>
      <c r="AY208" s="153" t="s">
        <v>106</v>
      </c>
      <c r="AZ208" s="153" t="s">
        <v>106</v>
      </c>
      <c r="BA208" s="154" t="s">
        <v>114</v>
      </c>
      <c r="BB208" s="152">
        <v>1481828</v>
      </c>
      <c r="BC208" s="153">
        <v>1481828</v>
      </c>
      <c r="BD208" s="153">
        <v>1481828</v>
      </c>
      <c r="BE208" s="153">
        <v>1481828</v>
      </c>
      <c r="BF208" s="153">
        <v>1481828</v>
      </c>
      <c r="BG208" s="157"/>
      <c r="BH208" s="155" t="s">
        <v>1718</v>
      </c>
      <c r="BI208" s="152" t="s">
        <v>920</v>
      </c>
      <c r="BJ208" s="153" t="s">
        <v>920</v>
      </c>
      <c r="BK208" s="153" t="s">
        <v>920</v>
      </c>
      <c r="BL208" s="153" t="s">
        <v>920</v>
      </c>
      <c r="BM208" s="153" t="s">
        <v>920</v>
      </c>
      <c r="BN208" s="154">
        <f>SUMIF(BI208:BM208,"&gt;0",BI208:BM208)</f>
        <v>0</v>
      </c>
      <c r="BO208" s="156"/>
      <c r="BP208" s="148"/>
      <c r="BQ208" s="153"/>
      <c r="BR208" s="153"/>
      <c r="BS208" s="152"/>
      <c r="BT208" s="148"/>
      <c r="BU208" s="148"/>
      <c r="BV208" s="148"/>
      <c r="BW208" s="148"/>
      <c r="BX208" s="154">
        <f>SUM(BS208:BW208)</f>
        <v>0</v>
      </c>
      <c r="BY208" s="143"/>
      <c r="BZ208" s="143"/>
      <c r="CA208" s="143"/>
      <c r="CB208" s="143"/>
      <c r="CC208" s="143"/>
      <c r="CD208" s="143"/>
    </row>
    <row r="209" spans="1:82" ht="14.5">
      <c r="A209" s="143" t="s">
        <v>442</v>
      </c>
      <c r="B209" s="143" t="s">
        <v>1529</v>
      </c>
      <c r="C209" s="144" t="s">
        <v>1530</v>
      </c>
      <c r="D209" s="144" t="s">
        <v>1311</v>
      </c>
      <c r="E209" s="145" t="s">
        <v>1531</v>
      </c>
      <c r="F209" s="143" t="str">
        <f>SUBSTITUTE(E209," ","")</f>
        <v>49004142223</v>
      </c>
      <c r="G209" s="143" t="s">
        <v>1532</v>
      </c>
      <c r="H209" s="143" t="s">
        <v>53</v>
      </c>
      <c r="I209" s="143">
        <v>4615</v>
      </c>
      <c r="J209" s="143">
        <v>-26.805499999999999</v>
      </c>
      <c r="K209" s="143">
        <v>151.90199000000001</v>
      </c>
      <c r="L209" s="143" t="s">
        <v>292</v>
      </c>
      <c r="M209" s="143" t="s">
        <v>292</v>
      </c>
      <c r="N209" s="143" t="s">
        <v>292</v>
      </c>
      <c r="O209" s="143"/>
      <c r="P209" s="143"/>
      <c r="Q209" s="143" t="s">
        <v>29</v>
      </c>
      <c r="R209" s="143" t="s">
        <v>29</v>
      </c>
      <c r="S209" s="147"/>
      <c r="T209" s="143"/>
      <c r="U209" s="143"/>
      <c r="V209" s="143"/>
      <c r="W209" s="143"/>
      <c r="X209" s="143"/>
      <c r="Y209" s="143"/>
      <c r="Z209" s="143"/>
      <c r="AA209" s="143"/>
      <c r="AB209" s="143"/>
      <c r="AC209" s="143"/>
      <c r="AD209" s="153"/>
      <c r="AE209" s="153"/>
      <c r="AF209" s="143"/>
      <c r="AG209" s="155"/>
      <c r="AH209" s="147" t="s">
        <v>26</v>
      </c>
      <c r="AI209" s="146" t="s">
        <v>36</v>
      </c>
      <c r="AJ209" s="146" t="s">
        <v>1111</v>
      </c>
      <c r="AK209" s="146" t="s">
        <v>21</v>
      </c>
      <c r="AL209" s="143" t="s">
        <v>136</v>
      </c>
      <c r="AM209" s="143"/>
      <c r="AN209" s="143"/>
      <c r="AO209" s="143"/>
      <c r="AP209" s="152"/>
      <c r="AQ209" s="153"/>
      <c r="AR209" s="153"/>
      <c r="AS209" s="153"/>
      <c r="AT209" s="153"/>
      <c r="AU209" s="154"/>
      <c r="AV209" s="153" t="s">
        <v>106</v>
      </c>
      <c r="AW209" s="153" t="s">
        <v>106</v>
      </c>
      <c r="AX209" s="153" t="s">
        <v>106</v>
      </c>
      <c r="AY209" s="153" t="s">
        <v>106</v>
      </c>
      <c r="AZ209" s="153" t="s">
        <v>106</v>
      </c>
      <c r="BA209" s="154" t="s">
        <v>114</v>
      </c>
      <c r="BB209" s="152">
        <v>187033</v>
      </c>
      <c r="BC209" s="153">
        <v>187033</v>
      </c>
      <c r="BD209" s="153">
        <v>187033</v>
      </c>
      <c r="BE209" s="153">
        <v>187033</v>
      </c>
      <c r="BF209" s="153">
        <v>187033</v>
      </c>
      <c r="BG209" s="157"/>
      <c r="BH209" s="155"/>
      <c r="BI209" s="152" t="s">
        <v>920</v>
      </c>
      <c r="BJ209" s="153" t="s">
        <v>920</v>
      </c>
      <c r="BK209" s="153">
        <v>100083</v>
      </c>
      <c r="BL209" s="153" t="s">
        <v>920</v>
      </c>
      <c r="BM209" s="153" t="s">
        <v>920</v>
      </c>
      <c r="BN209" s="154">
        <f>SUMIF(BI209:BM209,"&gt;0",BI209:BM209)</f>
        <v>100083</v>
      </c>
      <c r="BO209" s="156"/>
      <c r="BP209" s="148"/>
      <c r="BQ209" s="153"/>
      <c r="BR209" s="153"/>
      <c r="BS209" s="152">
        <v>7814977</v>
      </c>
      <c r="BT209" s="148">
        <v>8132043</v>
      </c>
      <c r="BU209" s="148">
        <v>7961919</v>
      </c>
      <c r="BV209" s="148">
        <v>7151744</v>
      </c>
      <c r="BW209" s="148">
        <v>4963310</v>
      </c>
      <c r="BX209" s="154">
        <f>SUM(BS209:BW209)</f>
        <v>36023993</v>
      </c>
      <c r="BY209" s="143" t="e">
        <f>BI209/BS209</f>
        <v>#VALUE!</v>
      </c>
      <c r="BZ209" s="143" t="e">
        <f>BJ209/BT209</f>
        <v>#VALUE!</v>
      </c>
      <c r="CA209" s="143">
        <f>BK209/BU209</f>
        <v>1.2570210774563268E-2</v>
      </c>
      <c r="CB209" s="143" t="e">
        <f>BL209/BV209</f>
        <v>#VALUE!</v>
      </c>
      <c r="CC209" s="143" t="e">
        <f>BM209/BW209</f>
        <v>#VALUE!</v>
      </c>
      <c r="CD209" s="143" t="e">
        <f>AVERAGE(BY209:CC209)</f>
        <v>#VALUE!</v>
      </c>
    </row>
    <row r="210" spans="1:82" ht="14.5">
      <c r="A210" s="143" t="s">
        <v>379</v>
      </c>
      <c r="B210" s="143" t="s">
        <v>997</v>
      </c>
      <c r="C210" s="144" t="s">
        <v>1310</v>
      </c>
      <c r="D210" s="144" t="s">
        <v>1311</v>
      </c>
      <c r="E210" s="145" t="s">
        <v>1312</v>
      </c>
      <c r="F210" s="143" t="str">
        <f>SUBSTITUTE(E210," ","")</f>
        <v>50087646062</v>
      </c>
      <c r="G210" s="143" t="s">
        <v>292</v>
      </c>
      <c r="H210" s="143" t="s">
        <v>292</v>
      </c>
      <c r="I210" s="143" t="s">
        <v>292</v>
      </c>
      <c r="J210" s="143" t="s">
        <v>292</v>
      </c>
      <c r="K210" s="143" t="s">
        <v>292</v>
      </c>
      <c r="L210" s="143" t="s">
        <v>292</v>
      </c>
      <c r="M210" s="143" t="s">
        <v>292</v>
      </c>
      <c r="N210" s="143" t="s">
        <v>292</v>
      </c>
      <c r="O210" s="143"/>
      <c r="P210" s="143"/>
      <c r="Q210" s="143" t="s">
        <v>51</v>
      </c>
      <c r="R210" s="143" t="s">
        <v>79</v>
      </c>
      <c r="S210" s="147"/>
      <c r="T210" s="143"/>
      <c r="U210" s="143"/>
      <c r="V210" s="143"/>
      <c r="W210" s="143"/>
      <c r="X210" s="143"/>
      <c r="Y210" s="143"/>
      <c r="Z210" s="143"/>
      <c r="AA210" s="143"/>
      <c r="AB210" s="143"/>
      <c r="AC210" s="143"/>
      <c r="AD210" s="153"/>
      <c r="AE210" s="153"/>
      <c r="AF210" s="143"/>
      <c r="AG210" s="155"/>
      <c r="AH210" s="147" t="s">
        <v>26</v>
      </c>
      <c r="AI210" s="151" t="s">
        <v>76</v>
      </c>
      <c r="AJ210" s="146"/>
      <c r="AK210" s="146" t="s">
        <v>292</v>
      </c>
      <c r="AL210" s="146" t="s">
        <v>292</v>
      </c>
      <c r="AM210" s="143"/>
      <c r="AN210" s="143"/>
      <c r="AO210" s="143"/>
      <c r="AP210" s="152"/>
      <c r="AQ210" s="153"/>
      <c r="AR210" s="153"/>
      <c r="AS210" s="153"/>
      <c r="AT210" s="153"/>
      <c r="AU210" s="154"/>
      <c r="AV210" s="153" t="s">
        <v>106</v>
      </c>
      <c r="AW210" s="153" t="s">
        <v>106</v>
      </c>
      <c r="AX210" s="153" t="s">
        <v>106</v>
      </c>
      <c r="AY210" s="153" t="s">
        <v>106</v>
      </c>
      <c r="AZ210" s="153" t="s">
        <v>106</v>
      </c>
      <c r="BA210" s="154" t="s">
        <v>114</v>
      </c>
      <c r="BB210" s="152">
        <v>106831</v>
      </c>
      <c r="BC210" s="153">
        <v>106831</v>
      </c>
      <c r="BD210" s="153">
        <v>106831</v>
      </c>
      <c r="BE210" s="153">
        <v>106831</v>
      </c>
      <c r="BF210" s="153">
        <v>106831</v>
      </c>
      <c r="BG210" s="157"/>
      <c r="BH210" s="155"/>
      <c r="BI210" s="152" t="s">
        <v>920</v>
      </c>
      <c r="BJ210" s="153" t="s">
        <v>920</v>
      </c>
      <c r="BK210" s="153" t="s">
        <v>920</v>
      </c>
      <c r="BL210" s="153" t="s">
        <v>920</v>
      </c>
      <c r="BM210" s="153" t="s">
        <v>920</v>
      </c>
      <c r="BN210" s="154">
        <f>SUMIF(BI210:BM210,"&gt;0",BI210:BM210)</f>
        <v>0</v>
      </c>
      <c r="BO210" s="156"/>
      <c r="BP210" s="148"/>
      <c r="BQ210" s="153"/>
      <c r="BR210" s="153"/>
      <c r="BS210" s="152"/>
      <c r="BT210" s="148"/>
      <c r="BU210" s="148"/>
      <c r="BV210" s="148"/>
      <c r="BW210" s="148"/>
      <c r="BX210" s="154">
        <f>SUM(BS210:BW210)</f>
        <v>0</v>
      </c>
      <c r="BY210" s="143"/>
      <c r="BZ210" s="143"/>
      <c r="CA210" s="143"/>
      <c r="CB210" s="143"/>
      <c r="CC210" s="143"/>
      <c r="CD210" s="259"/>
    </row>
    <row r="211" spans="1:82" ht="14.5">
      <c r="A211" s="143" t="s">
        <v>294</v>
      </c>
      <c r="B211" s="143" t="s">
        <v>1017</v>
      </c>
      <c r="C211" s="144" t="s">
        <v>1018</v>
      </c>
      <c r="D211" s="144" t="s">
        <v>1019</v>
      </c>
      <c r="E211" s="145" t="s">
        <v>1020</v>
      </c>
      <c r="F211" s="143" t="str">
        <f>SUBSTITUTE(E211," ","")</f>
        <v>84118274776</v>
      </c>
      <c r="G211" s="143" t="s">
        <v>292</v>
      </c>
      <c r="H211" s="143" t="s">
        <v>292</v>
      </c>
      <c r="I211" s="143" t="s">
        <v>292</v>
      </c>
      <c r="J211" s="143" t="s">
        <v>292</v>
      </c>
      <c r="K211" s="143" t="s">
        <v>292</v>
      </c>
      <c r="L211" s="143" t="s">
        <v>292</v>
      </c>
      <c r="M211" s="143" t="s">
        <v>292</v>
      </c>
      <c r="N211" s="143" t="s">
        <v>292</v>
      </c>
      <c r="O211" s="143"/>
      <c r="P211" s="143"/>
      <c r="Q211" s="143" t="s">
        <v>278</v>
      </c>
      <c r="R211" s="143" t="s">
        <v>79</v>
      </c>
      <c r="S211" s="147"/>
      <c r="T211" s="143"/>
      <c r="U211" s="143"/>
      <c r="V211" s="143"/>
      <c r="W211" s="143"/>
      <c r="X211" s="143"/>
      <c r="Y211" s="143"/>
      <c r="Z211" s="143"/>
      <c r="AA211" s="143"/>
      <c r="AB211" s="143"/>
      <c r="AC211" s="143"/>
      <c r="AD211" s="153"/>
      <c r="AE211" s="153"/>
      <c r="AF211" s="143"/>
      <c r="AG211" s="155"/>
      <c r="AH211" s="147" t="s">
        <v>48</v>
      </c>
      <c r="AI211" s="151" t="s">
        <v>76</v>
      </c>
      <c r="AJ211" s="146"/>
      <c r="AK211" s="146" t="s">
        <v>70</v>
      </c>
      <c r="AL211" s="151" t="s">
        <v>118</v>
      </c>
      <c r="AM211" s="143"/>
      <c r="AN211" s="143"/>
      <c r="AO211" s="143"/>
      <c r="AP211" s="152"/>
      <c r="AQ211" s="153"/>
      <c r="AR211" s="153"/>
      <c r="AS211" s="153"/>
      <c r="AT211" s="153"/>
      <c r="AU211" s="154"/>
      <c r="AV211" s="153" t="s">
        <v>106</v>
      </c>
      <c r="AW211" s="153" t="s">
        <v>106</v>
      </c>
      <c r="AX211" s="153" t="s">
        <v>106</v>
      </c>
      <c r="AY211" s="153" t="s">
        <v>106</v>
      </c>
      <c r="AZ211" s="153" t="s">
        <v>106</v>
      </c>
      <c r="BA211" s="154" t="s">
        <v>117</v>
      </c>
      <c r="BB211" s="152">
        <v>141051</v>
      </c>
      <c r="BC211" s="153">
        <v>141051</v>
      </c>
      <c r="BD211" s="153">
        <v>141051</v>
      </c>
      <c r="BE211" s="153">
        <v>141051</v>
      </c>
      <c r="BF211" s="153">
        <v>141002</v>
      </c>
      <c r="BG211" s="157"/>
      <c r="BH211" s="155" t="s">
        <v>1021</v>
      </c>
      <c r="BI211" s="152" t="s">
        <v>920</v>
      </c>
      <c r="BJ211" s="153" t="s">
        <v>920</v>
      </c>
      <c r="BK211" s="153" t="s">
        <v>920</v>
      </c>
      <c r="BL211" s="153" t="s">
        <v>920</v>
      </c>
      <c r="BM211" s="153" t="s">
        <v>920</v>
      </c>
      <c r="BN211" s="154">
        <f>SUMIF(BI211:BM211,"&gt;0",BI211:BM211)</f>
        <v>0</v>
      </c>
      <c r="BO211" s="156"/>
      <c r="BP211" s="148"/>
      <c r="BQ211" s="153"/>
      <c r="BR211" s="153"/>
      <c r="BS211" s="152"/>
      <c r="BT211" s="148"/>
      <c r="BU211" s="148"/>
      <c r="BV211" s="148"/>
      <c r="BW211" s="148"/>
      <c r="BX211" s="154">
        <f>SUM(BS211:BW211)</f>
        <v>0</v>
      </c>
      <c r="BY211" s="143"/>
      <c r="BZ211" s="143"/>
      <c r="CA211" s="143"/>
      <c r="CB211" s="143"/>
      <c r="CC211" s="143"/>
      <c r="CD211" s="259"/>
    </row>
    <row r="212" spans="1:82" ht="14.5">
      <c r="A212" s="143" t="s">
        <v>368</v>
      </c>
      <c r="B212" s="143" t="s">
        <v>1261</v>
      </c>
      <c r="C212" s="144" t="s">
        <v>665</v>
      </c>
      <c r="D212" s="144" t="s">
        <v>1228</v>
      </c>
      <c r="E212" s="145" t="s">
        <v>666</v>
      </c>
      <c r="F212" s="143" t="str">
        <f>SUBSTITUTE(E212," ","")</f>
        <v>30612261453</v>
      </c>
      <c r="G212" s="143" t="s">
        <v>1226</v>
      </c>
      <c r="H212" s="143" t="s">
        <v>53</v>
      </c>
      <c r="I212" s="143">
        <v>4804</v>
      </c>
      <c r="J212" s="143">
        <v>-20.694600000000001</v>
      </c>
      <c r="K212" s="143">
        <v>147.8279</v>
      </c>
      <c r="L212" s="143">
        <v>2014</v>
      </c>
      <c r="M212" s="143">
        <v>8</v>
      </c>
      <c r="N212" s="143">
        <v>2039</v>
      </c>
      <c r="O212" s="143"/>
      <c r="P212" s="143"/>
      <c r="Q212" s="143" t="s">
        <v>29</v>
      </c>
      <c r="R212" s="143" t="s">
        <v>29</v>
      </c>
      <c r="S212" s="147"/>
      <c r="T212" s="143"/>
      <c r="U212" s="143"/>
      <c r="V212" s="143"/>
      <c r="W212" s="143"/>
      <c r="X212" s="143"/>
      <c r="Y212" s="143"/>
      <c r="Z212" s="143"/>
      <c r="AA212" s="143"/>
      <c r="AB212" s="143"/>
      <c r="AC212" s="143"/>
      <c r="AD212" s="153"/>
      <c r="AE212" s="153"/>
      <c r="AF212" s="143"/>
      <c r="AG212" s="155"/>
      <c r="AH212" s="147" t="s">
        <v>26</v>
      </c>
      <c r="AI212" s="146" t="s">
        <v>69</v>
      </c>
      <c r="AJ212" s="146" t="s">
        <v>1262</v>
      </c>
      <c r="AK212" s="146" t="s">
        <v>21</v>
      </c>
      <c r="AL212" s="143" t="s">
        <v>43</v>
      </c>
      <c r="AM212" s="143"/>
      <c r="AN212" s="143"/>
      <c r="AO212" s="143"/>
      <c r="AP212" s="152"/>
      <c r="AQ212" s="153"/>
      <c r="AR212" s="153"/>
      <c r="AS212" s="153"/>
      <c r="AT212" s="153"/>
      <c r="AU212" s="154"/>
      <c r="AV212" s="153" t="s">
        <v>59</v>
      </c>
      <c r="AW212" s="153" t="s">
        <v>59</v>
      </c>
      <c r="AX212" s="153" t="s">
        <v>59</v>
      </c>
      <c r="AY212" s="153" t="s">
        <v>59</v>
      </c>
      <c r="AZ212" s="153" t="s">
        <v>73</v>
      </c>
      <c r="BA212" s="154" t="s">
        <v>73</v>
      </c>
      <c r="BB212" s="152">
        <v>202174</v>
      </c>
      <c r="BC212" s="153">
        <v>202274</v>
      </c>
      <c r="BD212" s="153">
        <v>202274</v>
      </c>
      <c r="BE212" s="157">
        <v>202174</v>
      </c>
      <c r="BF212" s="157">
        <v>201231</v>
      </c>
      <c r="BG212" s="157"/>
      <c r="BH212" s="155"/>
      <c r="BI212" s="152">
        <v>159248</v>
      </c>
      <c r="BJ212" s="153">
        <v>199573</v>
      </c>
      <c r="BK212" s="153">
        <v>167842</v>
      </c>
      <c r="BL212" s="153">
        <v>156044</v>
      </c>
      <c r="BM212" s="153">
        <v>183171</v>
      </c>
      <c r="BN212" s="154">
        <f>SUMIF(BI212:BM212,"&gt;0",BI212:BM212)</f>
        <v>865878</v>
      </c>
      <c r="BO212" s="156">
        <v>631809</v>
      </c>
      <c r="BP212" s="148">
        <v>631809</v>
      </c>
      <c r="BQ212" s="153">
        <v>631809</v>
      </c>
      <c r="BR212" s="153">
        <v>631809</v>
      </c>
      <c r="BS212" s="152">
        <v>5199889</v>
      </c>
      <c r="BT212" s="148">
        <v>6289679</v>
      </c>
      <c r="BU212" s="148">
        <v>4932996</v>
      </c>
      <c r="BV212" s="148">
        <v>4247085</v>
      </c>
      <c r="BW212" s="148" t="s">
        <v>1096</v>
      </c>
      <c r="BX212" s="154">
        <f>SUM(BS212:BW212)</f>
        <v>20669649</v>
      </c>
      <c r="BY212" s="143">
        <f>BI212/BS212</f>
        <v>3.0625269116321522E-2</v>
      </c>
      <c r="BZ212" s="143">
        <f>BJ212/BT212</f>
        <v>3.173023615354615E-2</v>
      </c>
      <c r="CA212" s="143">
        <f>BK212/BU212</f>
        <v>3.402435355714864E-2</v>
      </c>
      <c r="CB212" s="143">
        <f>BL212/BV212</f>
        <v>3.6741435596414955E-2</v>
      </c>
      <c r="CC212" s="143" t="e">
        <f>BM212/BW212</f>
        <v>#VALUE!</v>
      </c>
      <c r="CD212" s="259" t="e">
        <f>AVERAGE(BY212:CC212)</f>
        <v>#VALUE!</v>
      </c>
    </row>
    <row r="213" spans="1:82" ht="14.5">
      <c r="A213" s="143" t="s">
        <v>354</v>
      </c>
      <c r="B213" s="143"/>
      <c r="C213" s="144"/>
      <c r="D213" s="144" t="s">
        <v>1228</v>
      </c>
      <c r="E213" s="145" t="s">
        <v>1229</v>
      </c>
      <c r="F213" s="143" t="str">
        <f>SUBSTITUTE(E213," ","")</f>
        <v>40120967839</v>
      </c>
      <c r="G213" s="143" t="s">
        <v>1132</v>
      </c>
      <c r="H213" s="143" t="s">
        <v>53</v>
      </c>
      <c r="I213" s="143">
        <v>4717</v>
      </c>
      <c r="J213" s="143">
        <v>-23.716950000000001</v>
      </c>
      <c r="K213" s="143">
        <v>148.89463599999999</v>
      </c>
      <c r="L213" s="143" t="s">
        <v>292</v>
      </c>
      <c r="M213" s="143" t="s">
        <v>292</v>
      </c>
      <c r="N213" s="143" t="s">
        <v>292</v>
      </c>
      <c r="O213" s="143"/>
      <c r="P213" s="143"/>
      <c r="Q213" s="143" t="s">
        <v>29</v>
      </c>
      <c r="R213" s="143" t="s">
        <v>29</v>
      </c>
      <c r="S213" s="147"/>
      <c r="T213" s="143"/>
      <c r="U213" s="143"/>
      <c r="V213" s="143"/>
      <c r="W213" s="143"/>
      <c r="X213" s="143"/>
      <c r="Y213" s="143"/>
      <c r="Z213" s="143"/>
      <c r="AA213" s="143"/>
      <c r="AB213" s="143"/>
      <c r="AC213" s="143"/>
      <c r="AD213" s="153"/>
      <c r="AE213" s="153"/>
      <c r="AF213" s="143"/>
      <c r="AG213" s="155"/>
      <c r="AH213" s="147" t="s">
        <v>26</v>
      </c>
      <c r="AI213" s="146" t="s">
        <v>56</v>
      </c>
      <c r="AJ213" s="146" t="s">
        <v>1230</v>
      </c>
      <c r="AK213" s="146" t="s">
        <v>33</v>
      </c>
      <c r="AL213" s="143" t="s">
        <v>43</v>
      </c>
      <c r="AM213" s="143"/>
      <c r="AN213" s="143"/>
      <c r="AO213" s="143"/>
      <c r="AP213" s="152"/>
      <c r="AQ213" s="153"/>
      <c r="AR213" s="153"/>
      <c r="AS213" s="153"/>
      <c r="AT213" s="153"/>
      <c r="AU213" s="154"/>
      <c r="AV213" s="153" t="s">
        <v>1028</v>
      </c>
      <c r="AW213" s="153" t="s">
        <v>106</v>
      </c>
      <c r="AX213" s="153" t="s">
        <v>106</v>
      </c>
      <c r="AY213" s="153" t="s">
        <v>106</v>
      </c>
      <c r="AZ213" s="153" t="s">
        <v>106</v>
      </c>
      <c r="BA213" s="154" t="s">
        <v>114</v>
      </c>
      <c r="BB213" s="152">
        <v>215233</v>
      </c>
      <c r="BC213" s="153">
        <v>120884</v>
      </c>
      <c r="BD213" s="153">
        <v>215233</v>
      </c>
      <c r="BE213" s="153">
        <v>215233</v>
      </c>
      <c r="BF213" s="157">
        <v>240439</v>
      </c>
      <c r="BG213" s="157"/>
      <c r="BH213" s="155"/>
      <c r="BI213" s="152">
        <v>135433</v>
      </c>
      <c r="BJ213" s="153">
        <v>70948</v>
      </c>
      <c r="BK213" s="153">
        <v>143064</v>
      </c>
      <c r="BL213" s="153" t="s">
        <v>920</v>
      </c>
      <c r="BM213" s="153" t="s">
        <v>920</v>
      </c>
      <c r="BN213" s="154">
        <f>SUMIF(BI213:BM213,"&gt;0",BI213:BM213)</f>
        <v>349445</v>
      </c>
      <c r="BO213" s="156"/>
      <c r="BP213" s="148"/>
      <c r="BQ213" s="153"/>
      <c r="BR213" s="153"/>
      <c r="BS213" s="152" t="s">
        <v>1096</v>
      </c>
      <c r="BT213" s="148">
        <v>134000</v>
      </c>
      <c r="BU213" s="148">
        <v>538000</v>
      </c>
      <c r="BV213" s="148" t="s">
        <v>1096</v>
      </c>
      <c r="BW213" s="148" t="s">
        <v>1096</v>
      </c>
      <c r="BX213" s="154">
        <f>SUM(BS213:BW213)</f>
        <v>672000</v>
      </c>
      <c r="BY213" s="143" t="e">
        <f>BI213/BS213</f>
        <v>#VALUE!</v>
      </c>
      <c r="BZ213" s="143">
        <f>BJ213/BT213</f>
        <v>0.52946268656716422</v>
      </c>
      <c r="CA213" s="143">
        <f>BK213/BU213</f>
        <v>0.26591821561338291</v>
      </c>
      <c r="CB213" s="143" t="e">
        <f>BL213/BV213</f>
        <v>#VALUE!</v>
      </c>
      <c r="CC213" s="143" t="e">
        <f>BM213/BW213</f>
        <v>#VALUE!</v>
      </c>
      <c r="CD213" s="259" t="e">
        <f>AVERAGE(BY213:CC213)</f>
        <v>#VALUE!</v>
      </c>
    </row>
    <row r="214" spans="1:82" ht="14.5">
      <c r="A214" s="143" t="s">
        <v>330</v>
      </c>
      <c r="B214" s="143"/>
      <c r="C214" s="144" t="s">
        <v>638</v>
      </c>
      <c r="D214" s="144" t="s">
        <v>1156</v>
      </c>
      <c r="E214" s="145" t="s">
        <v>639</v>
      </c>
      <c r="F214" s="143" t="str">
        <f>SUBSTITUTE(E214," ","")</f>
        <v>64133357632</v>
      </c>
      <c r="G214" s="143" t="s">
        <v>1157</v>
      </c>
      <c r="H214" s="143" t="s">
        <v>53</v>
      </c>
      <c r="I214" s="143">
        <v>4742</v>
      </c>
      <c r="J214" s="143">
        <v>-21.316800000000001</v>
      </c>
      <c r="K214" s="143">
        <v>147.84299999999999</v>
      </c>
      <c r="L214" s="143">
        <v>2017</v>
      </c>
      <c r="M214" s="143">
        <v>5</v>
      </c>
      <c r="N214" s="143">
        <v>2023</v>
      </c>
      <c r="O214" s="143"/>
      <c r="P214" s="143"/>
      <c r="Q214" s="143" t="s">
        <v>29</v>
      </c>
      <c r="R214" s="143" t="s">
        <v>29</v>
      </c>
      <c r="S214" s="147"/>
      <c r="T214" s="143"/>
      <c r="U214" s="143"/>
      <c r="V214" s="143"/>
      <c r="W214" s="143"/>
      <c r="X214" s="143"/>
      <c r="Y214" s="143"/>
      <c r="Z214" s="143"/>
      <c r="AA214" s="143"/>
      <c r="AB214" s="143"/>
      <c r="AC214" s="143"/>
      <c r="AD214" s="153"/>
      <c r="AE214" s="153"/>
      <c r="AF214" s="143"/>
      <c r="AG214" s="155"/>
      <c r="AH214" s="147" t="s">
        <v>26</v>
      </c>
      <c r="AI214" s="146" t="s">
        <v>69</v>
      </c>
      <c r="AJ214" s="146" t="s">
        <v>1158</v>
      </c>
      <c r="AK214" s="146" t="s">
        <v>21</v>
      </c>
      <c r="AL214" s="143" t="s">
        <v>43</v>
      </c>
      <c r="AM214" s="143"/>
      <c r="AN214" s="143"/>
      <c r="AO214" s="143"/>
      <c r="AP214" s="152"/>
      <c r="AQ214" s="153"/>
      <c r="AR214" s="153"/>
      <c r="AS214" s="153"/>
      <c r="AT214" s="153"/>
      <c r="AU214" s="154"/>
      <c r="AV214" s="153" t="s">
        <v>114</v>
      </c>
      <c r="AW214" s="153" t="s">
        <v>59</v>
      </c>
      <c r="AX214" s="153" t="s">
        <v>59</v>
      </c>
      <c r="AY214" s="153" t="s">
        <v>59</v>
      </c>
      <c r="AZ214" s="153" t="s">
        <v>73</v>
      </c>
      <c r="BA214" s="154" t="s">
        <v>73</v>
      </c>
      <c r="BB214" s="152" t="s">
        <v>114</v>
      </c>
      <c r="BC214" s="153">
        <v>353323</v>
      </c>
      <c r="BD214" s="153">
        <v>353323</v>
      </c>
      <c r="BE214" s="157">
        <v>353323</v>
      </c>
      <c r="BF214" s="157">
        <v>456929</v>
      </c>
      <c r="BG214" s="157"/>
      <c r="BH214" s="155"/>
      <c r="BI214" s="152" t="s">
        <v>920</v>
      </c>
      <c r="BJ214" s="153">
        <v>103726</v>
      </c>
      <c r="BK214" s="153">
        <v>195543</v>
      </c>
      <c r="BL214" s="153">
        <v>220835</v>
      </c>
      <c r="BM214" s="153">
        <v>333362</v>
      </c>
      <c r="BN214" s="154">
        <f>SUMIF(BI214:BM214,"&gt;0",BI214:BM214)</f>
        <v>853466</v>
      </c>
      <c r="BO214" s="156">
        <v>318900</v>
      </c>
      <c r="BP214" s="148">
        <v>318900</v>
      </c>
      <c r="BQ214" s="153">
        <v>318900</v>
      </c>
      <c r="BR214" s="153">
        <v>318900</v>
      </c>
      <c r="BS214" s="152" t="s">
        <v>1096</v>
      </c>
      <c r="BT214" s="148">
        <v>2217160</v>
      </c>
      <c r="BU214" s="148">
        <v>4982422</v>
      </c>
      <c r="BV214" s="148">
        <v>5380656</v>
      </c>
      <c r="BW214" s="153" t="s">
        <v>1096</v>
      </c>
      <c r="BX214" s="154">
        <f>SUM(BS214:BW214)</f>
        <v>12580238</v>
      </c>
      <c r="BY214" s="143" t="e">
        <f>BI214/BS214</f>
        <v>#VALUE!</v>
      </c>
      <c r="BZ214" s="143">
        <f>BJ214/BT214</f>
        <v>4.6783272294286388E-2</v>
      </c>
      <c r="CA214" s="143">
        <f>BK214/BU214</f>
        <v>3.9246575259983998E-2</v>
      </c>
      <c r="CB214" s="143">
        <f>BL214/BV214</f>
        <v>4.104239334385993E-2</v>
      </c>
      <c r="CC214" s="143" t="e">
        <f>BM214/BW214</f>
        <v>#VALUE!</v>
      </c>
      <c r="CD214" s="259" t="e">
        <f>AVERAGE(BY214:CC214)</f>
        <v>#VALUE!</v>
      </c>
    </row>
    <row r="215" spans="1:82" ht="14.5">
      <c r="A215" s="143" t="s">
        <v>497</v>
      </c>
      <c r="B215" s="143" t="s">
        <v>1720</v>
      </c>
      <c r="C215" s="144" t="s">
        <v>1721</v>
      </c>
      <c r="D215" s="144" t="s">
        <v>1722</v>
      </c>
      <c r="E215" s="145" t="s">
        <v>1208</v>
      </c>
      <c r="F215" s="143" t="str">
        <f>SUBSTITUTE(E215," ","")</f>
        <v>70092916811</v>
      </c>
      <c r="G215" s="143" t="s">
        <v>1723</v>
      </c>
      <c r="H215" s="143" t="s">
        <v>53</v>
      </c>
      <c r="I215" s="143">
        <v>4702</v>
      </c>
      <c r="J215" s="143">
        <v>-23.318702999999999</v>
      </c>
      <c r="K215" s="143">
        <v>150.50541999999999</v>
      </c>
      <c r="L215" s="143">
        <v>1991</v>
      </c>
      <c r="M215" s="143">
        <v>31</v>
      </c>
      <c r="N215" s="143">
        <v>0</v>
      </c>
      <c r="O215" s="143"/>
      <c r="P215" s="143"/>
      <c r="Q215" s="143" t="s">
        <v>188</v>
      </c>
      <c r="R215" s="143" t="s">
        <v>72</v>
      </c>
      <c r="S215" s="147"/>
      <c r="T215" s="143"/>
      <c r="U215" s="143"/>
      <c r="V215" s="143"/>
      <c r="W215" s="143"/>
      <c r="X215" s="143"/>
      <c r="Y215" s="143"/>
      <c r="Z215" s="143"/>
      <c r="AA215" s="143"/>
      <c r="AB215" s="143"/>
      <c r="AC215" s="143"/>
      <c r="AD215" s="153"/>
      <c r="AE215" s="153"/>
      <c r="AF215" s="143"/>
      <c r="AG215" s="155"/>
      <c r="AH215" s="150" t="s">
        <v>37</v>
      </c>
      <c r="AI215" s="151" t="s">
        <v>76</v>
      </c>
      <c r="AJ215" s="151" t="s">
        <v>70</v>
      </c>
      <c r="AK215" s="151" t="s">
        <v>70</v>
      </c>
      <c r="AL215" s="151" t="s">
        <v>118</v>
      </c>
      <c r="AM215" s="151" t="s">
        <v>70</v>
      </c>
      <c r="AN215" s="151" t="s">
        <v>70</v>
      </c>
      <c r="AO215" s="151" t="s">
        <v>70</v>
      </c>
      <c r="AP215" s="152"/>
      <c r="AQ215" s="153"/>
      <c r="AR215" s="153"/>
      <c r="AS215" s="153"/>
      <c r="AT215" s="153"/>
      <c r="AU215" s="154"/>
      <c r="AV215" s="153" t="s">
        <v>1028</v>
      </c>
      <c r="AW215" s="153" t="s">
        <v>106</v>
      </c>
      <c r="AX215" s="153" t="s">
        <v>106</v>
      </c>
      <c r="AY215" s="153" t="s">
        <v>106</v>
      </c>
      <c r="AZ215" s="153" t="s">
        <v>106</v>
      </c>
      <c r="BA215" s="154" t="s">
        <v>114</v>
      </c>
      <c r="BB215" s="152">
        <v>357739</v>
      </c>
      <c r="BC215" s="153">
        <v>357739</v>
      </c>
      <c r="BD215" s="153">
        <v>357739</v>
      </c>
      <c r="BE215" s="157">
        <v>94090</v>
      </c>
      <c r="BF215" s="157">
        <v>357739</v>
      </c>
      <c r="BG215" s="157"/>
      <c r="BH215" s="155"/>
      <c r="BI215" s="152">
        <v>152831</v>
      </c>
      <c r="BJ215" s="153">
        <v>225256</v>
      </c>
      <c r="BK215" s="153">
        <v>286573</v>
      </c>
      <c r="BL215" s="153">
        <v>58758</v>
      </c>
      <c r="BM215" s="153">
        <v>240525</v>
      </c>
      <c r="BN215" s="154">
        <f>SUMIF(BI215:BM215,"&gt;0",BI215:BM215)</f>
        <v>963943</v>
      </c>
      <c r="BO215" s="156"/>
      <c r="BP215" s="148"/>
      <c r="BQ215" s="153"/>
      <c r="BR215" s="153"/>
      <c r="BS215" s="152"/>
      <c r="BT215" s="148"/>
      <c r="BU215" s="148"/>
      <c r="BV215" s="148"/>
      <c r="BW215" s="148"/>
      <c r="BX215" s="154">
        <f>SUM(BS215:BW215)</f>
        <v>0</v>
      </c>
      <c r="BY215" s="143"/>
      <c r="BZ215" s="143"/>
      <c r="CA215" s="143"/>
      <c r="CB215" s="143"/>
      <c r="CC215" s="143"/>
      <c r="CD215" s="143"/>
    </row>
    <row r="216" spans="1:82" ht="14.5">
      <c r="A216" s="143" t="s">
        <v>370</v>
      </c>
      <c r="B216" s="143" t="s">
        <v>1268</v>
      </c>
      <c r="C216" s="144" t="s">
        <v>667</v>
      </c>
      <c r="D216" s="144" t="s">
        <v>1269</v>
      </c>
      <c r="E216" s="145" t="s">
        <v>668</v>
      </c>
      <c r="F216" s="143" t="str">
        <f>SUBSTITUTE(E216," ","")</f>
        <v>28009174761</v>
      </c>
      <c r="G216" s="143" t="s">
        <v>1270</v>
      </c>
      <c r="H216" s="143" t="s">
        <v>81</v>
      </c>
      <c r="I216" s="143">
        <v>6440</v>
      </c>
      <c r="J216" s="143">
        <v>-27.611944000000001</v>
      </c>
      <c r="K216" s="143">
        <v>122.36027799999999</v>
      </c>
      <c r="L216" s="173" t="s">
        <v>292</v>
      </c>
      <c r="M216" s="173" t="s">
        <v>292</v>
      </c>
      <c r="N216" s="173" t="s">
        <v>292</v>
      </c>
      <c r="O216" s="143"/>
      <c r="P216" s="143"/>
      <c r="Q216" s="143" t="s">
        <v>123</v>
      </c>
      <c r="R216" s="143" t="s">
        <v>79</v>
      </c>
      <c r="S216" s="147"/>
      <c r="T216" s="143"/>
      <c r="U216" s="143"/>
      <c r="V216" s="143"/>
      <c r="W216" s="143"/>
      <c r="X216" s="143"/>
      <c r="Y216" s="143"/>
      <c r="Z216" s="143"/>
      <c r="AA216" s="143"/>
      <c r="AB216" s="143"/>
      <c r="AC216" s="143"/>
      <c r="AD216" s="153"/>
      <c r="AE216" s="153"/>
      <c r="AF216" s="143"/>
      <c r="AG216" s="155"/>
      <c r="AH216" s="150" t="s">
        <v>37</v>
      </c>
      <c r="AI216" s="151" t="s">
        <v>76</v>
      </c>
      <c r="AJ216" s="151" t="s">
        <v>70</v>
      </c>
      <c r="AK216" s="151" t="s">
        <v>70</v>
      </c>
      <c r="AL216" s="151" t="s">
        <v>118</v>
      </c>
      <c r="AM216" s="151" t="s">
        <v>70</v>
      </c>
      <c r="AN216" s="151" t="s">
        <v>70</v>
      </c>
      <c r="AO216" s="151" t="s">
        <v>70</v>
      </c>
      <c r="AP216" s="152"/>
      <c r="AQ216" s="153"/>
      <c r="AR216" s="153"/>
      <c r="AS216" s="153"/>
      <c r="AT216" s="153"/>
      <c r="AU216" s="154"/>
      <c r="AV216" s="153" t="s">
        <v>114</v>
      </c>
      <c r="AW216" s="153" t="s">
        <v>114</v>
      </c>
      <c r="AX216" s="153" t="s">
        <v>114</v>
      </c>
      <c r="AY216" s="153" t="s">
        <v>114</v>
      </c>
      <c r="AZ216" s="153" t="s">
        <v>73</v>
      </c>
      <c r="BA216" s="154" t="s">
        <v>73</v>
      </c>
      <c r="BB216" s="152" t="s">
        <v>114</v>
      </c>
      <c r="BC216" s="153" t="s">
        <v>114</v>
      </c>
      <c r="BD216" s="153" t="s">
        <v>114</v>
      </c>
      <c r="BE216" s="157" t="s">
        <v>114</v>
      </c>
      <c r="BF216" s="157">
        <v>186157</v>
      </c>
      <c r="BG216" s="157"/>
      <c r="BH216" s="155"/>
      <c r="BI216" s="152" t="s">
        <v>920</v>
      </c>
      <c r="BJ216" s="153" t="s">
        <v>920</v>
      </c>
      <c r="BK216" s="153" t="s">
        <v>920</v>
      </c>
      <c r="BL216" s="153" t="s">
        <v>920</v>
      </c>
      <c r="BM216" s="153">
        <v>178940</v>
      </c>
      <c r="BN216" s="154">
        <f>SUMIF(BI216:BM216,"&gt;0",BI216:BM216)</f>
        <v>178940</v>
      </c>
      <c r="BO216" s="156"/>
      <c r="BP216" s="148"/>
      <c r="BQ216" s="153"/>
      <c r="BR216" s="153"/>
      <c r="BS216" s="152"/>
      <c r="BT216" s="148"/>
      <c r="BU216" s="148"/>
      <c r="BV216" s="148"/>
      <c r="BW216" s="148"/>
      <c r="BX216" s="154">
        <f>SUM(BS216:BW216)</f>
        <v>0</v>
      </c>
      <c r="BY216" s="143"/>
      <c r="BZ216" s="143"/>
      <c r="CA216" s="143"/>
      <c r="CB216" s="143"/>
      <c r="CC216" s="143"/>
      <c r="CD216" s="259"/>
    </row>
    <row r="217" spans="1:82" ht="14.5">
      <c r="A217" s="143" t="s">
        <v>559</v>
      </c>
      <c r="B217" s="143" t="s">
        <v>1931</v>
      </c>
      <c r="C217" s="144" t="s">
        <v>1932</v>
      </c>
      <c r="D217" s="144" t="s">
        <v>1933</v>
      </c>
      <c r="E217" s="145" t="s">
        <v>1934</v>
      </c>
      <c r="F217" s="143" t="str">
        <f>SUBSTITUTE(E217," ","")</f>
        <v>95002429781</v>
      </c>
      <c r="G217" s="143" t="s">
        <v>1935</v>
      </c>
      <c r="H217" s="143" t="s">
        <v>53</v>
      </c>
      <c r="I217" s="143">
        <v>4306</v>
      </c>
      <c r="J217" s="143">
        <v>-27.657087000000001</v>
      </c>
      <c r="K217" s="143">
        <v>152.82914</v>
      </c>
      <c r="L217" s="143" t="s">
        <v>292</v>
      </c>
      <c r="M217" s="143" t="s">
        <v>292</v>
      </c>
      <c r="N217" s="143" t="s">
        <v>292</v>
      </c>
      <c r="O217" s="143"/>
      <c r="P217" s="143"/>
      <c r="Q217" s="143" t="s">
        <v>287</v>
      </c>
      <c r="R217" s="143" t="s">
        <v>85</v>
      </c>
      <c r="S217" s="147" t="s">
        <v>612</v>
      </c>
      <c r="T217" s="143">
        <v>2</v>
      </c>
      <c r="U217" s="143" t="s">
        <v>1936</v>
      </c>
      <c r="V217" s="143" t="s">
        <v>1937</v>
      </c>
      <c r="W217" s="143" t="s">
        <v>1836</v>
      </c>
      <c r="X217" s="143" t="s">
        <v>1004</v>
      </c>
      <c r="Y217" s="143" t="s">
        <v>1938</v>
      </c>
      <c r="Z217" s="143" t="s">
        <v>1286</v>
      </c>
      <c r="AA217" s="168">
        <v>41549</v>
      </c>
      <c r="AB217" s="153">
        <v>873819</v>
      </c>
      <c r="AC217" s="153" t="s">
        <v>1939</v>
      </c>
      <c r="AD217" s="153">
        <f>(3526278/4)+280000</f>
        <v>1161569.5</v>
      </c>
      <c r="AE217" s="153">
        <f>(3526278/4)+0</f>
        <v>881569.5</v>
      </c>
      <c r="AF217" s="143" t="s">
        <v>1045</v>
      </c>
      <c r="AG217" s="155"/>
      <c r="AH217" s="150" t="s">
        <v>37</v>
      </c>
      <c r="AI217" s="151" t="s">
        <v>76</v>
      </c>
      <c r="AJ217" s="151" t="s">
        <v>70</v>
      </c>
      <c r="AK217" s="151" t="s">
        <v>70</v>
      </c>
      <c r="AL217" s="151" t="s">
        <v>118</v>
      </c>
      <c r="AM217" s="151" t="s">
        <v>70</v>
      </c>
      <c r="AN217" s="151" t="s">
        <v>70</v>
      </c>
      <c r="AO217" s="151" t="s">
        <v>70</v>
      </c>
      <c r="AP217" s="152"/>
      <c r="AQ217" s="153"/>
      <c r="AR217" s="153"/>
      <c r="AS217" s="153"/>
      <c r="AT217" s="153"/>
      <c r="AU217" s="154"/>
      <c r="AV217" s="153" t="s">
        <v>106</v>
      </c>
      <c r="AW217" s="153" t="s">
        <v>106</v>
      </c>
      <c r="AX217" s="153" t="s">
        <v>106</v>
      </c>
      <c r="AY217" s="153" t="s">
        <v>106</v>
      </c>
      <c r="AZ217" s="153" t="s">
        <v>106</v>
      </c>
      <c r="BA217" s="154" t="s">
        <v>114</v>
      </c>
      <c r="BB217" s="152">
        <v>201349</v>
      </c>
      <c r="BC217" s="153">
        <v>201349</v>
      </c>
      <c r="BD217" s="153">
        <v>201349</v>
      </c>
      <c r="BE217" s="153">
        <v>201349</v>
      </c>
      <c r="BF217" s="153">
        <v>201349</v>
      </c>
      <c r="BG217" s="157"/>
      <c r="BH217" s="155"/>
      <c r="BI217" s="152" t="s">
        <v>920</v>
      </c>
      <c r="BJ217" s="153" t="s">
        <v>920</v>
      </c>
      <c r="BK217" s="153" t="s">
        <v>920</v>
      </c>
      <c r="BL217" s="153" t="s">
        <v>920</v>
      </c>
      <c r="BM217" s="153" t="s">
        <v>920</v>
      </c>
      <c r="BN217" s="154">
        <f>SUMIF(BI217:BM217,"&gt;0",BI217:BM217)</f>
        <v>0</v>
      </c>
      <c r="BO217" s="156"/>
      <c r="BP217" s="148"/>
      <c r="BQ217" s="153"/>
      <c r="BR217" s="153"/>
      <c r="BS217" s="152"/>
      <c r="BT217" s="148"/>
      <c r="BU217" s="148"/>
      <c r="BV217" s="148"/>
      <c r="BW217" s="148"/>
      <c r="BX217" s="154">
        <f>SUM(BS217:BW217)</f>
        <v>0</v>
      </c>
      <c r="BY217" s="143"/>
      <c r="BZ217" s="143"/>
      <c r="CA217" s="143"/>
      <c r="CB217" s="143"/>
      <c r="CC217" s="143"/>
      <c r="CD217" s="143"/>
    </row>
    <row r="218" spans="1:82" ht="14.5">
      <c r="A218" s="143" t="s">
        <v>520</v>
      </c>
      <c r="B218" s="143" t="s">
        <v>1807</v>
      </c>
      <c r="C218" s="144" t="s">
        <v>793</v>
      </c>
      <c r="D218" s="144" t="s">
        <v>1106</v>
      </c>
      <c r="E218" s="145" t="s">
        <v>794</v>
      </c>
      <c r="F218" s="143" t="str">
        <f>SUBSTITUTE(E218," ","")</f>
        <v>98009725044</v>
      </c>
      <c r="G218" s="143" t="s">
        <v>1144</v>
      </c>
      <c r="H218" s="143" t="s">
        <v>53</v>
      </c>
      <c r="I218" s="143">
        <v>4680</v>
      </c>
      <c r="J218" s="143">
        <v>-23.865759000000001</v>
      </c>
      <c r="K218" s="143">
        <v>151.29031499999999</v>
      </c>
      <c r="L218" s="143" t="s">
        <v>292</v>
      </c>
      <c r="M218" s="143" t="s">
        <v>292</v>
      </c>
      <c r="N218" s="143" t="s">
        <v>292</v>
      </c>
      <c r="O218" s="143"/>
      <c r="P218" s="143"/>
      <c r="Q218" s="143" t="s">
        <v>16</v>
      </c>
      <c r="R218" s="143" t="s">
        <v>17</v>
      </c>
      <c r="S218" s="147"/>
      <c r="T218" s="143"/>
      <c r="U218" s="143"/>
      <c r="V218" s="143"/>
      <c r="W218" s="143"/>
      <c r="X218" s="143"/>
      <c r="Y218" s="143"/>
      <c r="Z218" s="143"/>
      <c r="AA218" s="143"/>
      <c r="AB218" s="143"/>
      <c r="AC218" s="143"/>
      <c r="AD218" s="153"/>
      <c r="AE218" s="153"/>
      <c r="AF218" s="143"/>
      <c r="AG218" s="155"/>
      <c r="AH218" s="150" t="s">
        <v>37</v>
      </c>
      <c r="AI218" s="151" t="s">
        <v>76</v>
      </c>
      <c r="AJ218" s="151" t="s">
        <v>70</v>
      </c>
      <c r="AK218" s="151" t="s">
        <v>70</v>
      </c>
      <c r="AL218" s="151" t="s">
        <v>118</v>
      </c>
      <c r="AM218" s="151" t="s">
        <v>70</v>
      </c>
      <c r="AN218" s="151" t="s">
        <v>70</v>
      </c>
      <c r="AO218" s="151" t="s">
        <v>70</v>
      </c>
      <c r="AP218" s="152"/>
      <c r="AQ218" s="153"/>
      <c r="AR218" s="153"/>
      <c r="AS218" s="153"/>
      <c r="AT218" s="153"/>
      <c r="AU218" s="154"/>
      <c r="AV218" s="153" t="s">
        <v>41</v>
      </c>
      <c r="AW218" s="153" t="s">
        <v>41</v>
      </c>
      <c r="AX218" s="153" t="s">
        <v>41</v>
      </c>
      <c r="AY218" s="153" t="s">
        <v>73</v>
      </c>
      <c r="AZ218" s="153" t="s">
        <v>73</v>
      </c>
      <c r="BA218" s="154" t="s">
        <v>73</v>
      </c>
      <c r="BB218" s="152">
        <v>3386304</v>
      </c>
      <c r="BC218" s="153">
        <v>3386304</v>
      </c>
      <c r="BD218" s="153">
        <v>3386304</v>
      </c>
      <c r="BE218" s="157">
        <v>3434256</v>
      </c>
      <c r="BF218" s="157">
        <v>3434256</v>
      </c>
      <c r="BG218" s="157"/>
      <c r="BH218" s="155"/>
      <c r="BI218" s="152">
        <v>3284264</v>
      </c>
      <c r="BJ218" s="153">
        <v>3384495</v>
      </c>
      <c r="BK218" s="153">
        <v>3192846</v>
      </c>
      <c r="BL218" s="153">
        <v>3141923</v>
      </c>
      <c r="BM218" s="153">
        <v>3300358</v>
      </c>
      <c r="BN218" s="154">
        <f>SUMIF(BI218:BM218,"&gt;0",BI218:BM218)</f>
        <v>16303886</v>
      </c>
      <c r="BO218" s="156"/>
      <c r="BP218" s="148"/>
      <c r="BQ218" s="153"/>
      <c r="BR218" s="153"/>
      <c r="BS218" s="152"/>
      <c r="BT218" s="148"/>
      <c r="BU218" s="148"/>
      <c r="BV218" s="148"/>
      <c r="BW218" s="148"/>
      <c r="BX218" s="154">
        <f>SUM(BS218:BW218)</f>
        <v>0</v>
      </c>
      <c r="BY218" s="143"/>
      <c r="BZ218" s="143"/>
      <c r="CA218" s="143"/>
      <c r="CB218" s="143"/>
      <c r="CC218" s="143"/>
      <c r="CD218" s="259"/>
    </row>
    <row r="219" spans="1:82" ht="14.5">
      <c r="A219" s="143" t="s">
        <v>533</v>
      </c>
      <c r="B219" s="143" t="s">
        <v>1850</v>
      </c>
      <c r="C219" s="144" t="s">
        <v>809</v>
      </c>
      <c r="D219" s="144" t="s">
        <v>1106</v>
      </c>
      <c r="E219" s="145" t="s">
        <v>810</v>
      </c>
      <c r="F219" s="143" t="str">
        <f>SUBSTITUTE(E219," ","")</f>
        <v>73137266301</v>
      </c>
      <c r="G219" s="143" t="s">
        <v>1144</v>
      </c>
      <c r="H219" s="143" t="s">
        <v>53</v>
      </c>
      <c r="I219" s="143">
        <v>4680</v>
      </c>
      <c r="J219" s="143">
        <v>-23.827221999999999</v>
      </c>
      <c r="K219" s="143">
        <v>151.154167</v>
      </c>
      <c r="L219" s="143">
        <v>2004</v>
      </c>
      <c r="M219" s="143">
        <v>18</v>
      </c>
      <c r="N219" s="143">
        <v>0</v>
      </c>
      <c r="O219" s="143"/>
      <c r="P219" s="143"/>
      <c r="Q219" s="143" t="s">
        <v>16</v>
      </c>
      <c r="R219" s="143" t="s">
        <v>17</v>
      </c>
      <c r="S219" s="147"/>
      <c r="T219" s="143"/>
      <c r="U219" s="143"/>
      <c r="V219" s="143"/>
      <c r="W219" s="143"/>
      <c r="X219" s="143"/>
      <c r="Y219" s="143"/>
      <c r="Z219" s="143"/>
      <c r="AA219" s="143"/>
      <c r="AB219" s="143"/>
      <c r="AC219" s="143"/>
      <c r="AD219" s="153"/>
      <c r="AE219" s="153"/>
      <c r="AF219" s="143"/>
      <c r="AG219" s="155"/>
      <c r="AH219" s="150" t="s">
        <v>37</v>
      </c>
      <c r="AI219" s="151" t="s">
        <v>76</v>
      </c>
      <c r="AJ219" s="151" t="s">
        <v>70</v>
      </c>
      <c r="AK219" s="151" t="s">
        <v>70</v>
      </c>
      <c r="AL219" s="151" t="s">
        <v>118</v>
      </c>
      <c r="AM219" s="151" t="s">
        <v>70</v>
      </c>
      <c r="AN219" s="151" t="s">
        <v>70</v>
      </c>
      <c r="AO219" s="151" t="s">
        <v>70</v>
      </c>
      <c r="AP219" s="152"/>
      <c r="AQ219" s="153"/>
      <c r="AR219" s="153"/>
      <c r="AS219" s="153"/>
      <c r="AT219" s="153"/>
      <c r="AU219" s="154"/>
      <c r="AV219" s="153" t="s">
        <v>41</v>
      </c>
      <c r="AW219" s="153" t="s">
        <v>41</v>
      </c>
      <c r="AX219" s="153" t="s">
        <v>41</v>
      </c>
      <c r="AY219" s="153" t="s">
        <v>98</v>
      </c>
      <c r="AZ219" s="153" t="s">
        <v>98</v>
      </c>
      <c r="BA219" s="154" t="s">
        <v>98</v>
      </c>
      <c r="BB219" s="152">
        <v>2345872</v>
      </c>
      <c r="BC219" s="153">
        <v>2345872</v>
      </c>
      <c r="BD219" s="153">
        <v>2345872</v>
      </c>
      <c r="BE219" s="157">
        <v>2221071</v>
      </c>
      <c r="BF219" s="157">
        <v>2295467</v>
      </c>
      <c r="BG219" s="157"/>
      <c r="BH219" s="155"/>
      <c r="BI219" s="152">
        <v>2227172</v>
      </c>
      <c r="BJ219" s="153">
        <v>2218636</v>
      </c>
      <c r="BK219" s="153">
        <v>2119012</v>
      </c>
      <c r="BL219" s="153">
        <v>2117061</v>
      </c>
      <c r="BM219" s="153">
        <v>2130417</v>
      </c>
      <c r="BN219" s="154">
        <f>SUMIF(BI219:BM219,"&gt;0",BI219:BM219)</f>
        <v>10812298</v>
      </c>
      <c r="BO219" s="156"/>
      <c r="BP219" s="148"/>
      <c r="BQ219" s="153"/>
      <c r="BR219" s="153"/>
      <c r="BS219" s="152"/>
      <c r="BT219" s="148"/>
      <c r="BU219" s="148"/>
      <c r="BV219" s="148"/>
      <c r="BW219" s="148"/>
      <c r="BX219" s="154">
        <f>SUM(BS219:BW219)</f>
        <v>0</v>
      </c>
      <c r="BY219" s="143"/>
      <c r="BZ219" s="143"/>
      <c r="CA219" s="143"/>
      <c r="CB219" s="143"/>
      <c r="CC219" s="143"/>
      <c r="CD219" s="259"/>
    </row>
    <row r="220" spans="1:82" ht="14.5">
      <c r="A220" s="143" t="s">
        <v>324</v>
      </c>
      <c r="B220" s="143" t="s">
        <v>1143</v>
      </c>
      <c r="C220" s="144" t="s">
        <v>632</v>
      </c>
      <c r="D220" s="144" t="s">
        <v>1106</v>
      </c>
      <c r="E220" s="145" t="s">
        <v>633</v>
      </c>
      <c r="F220" s="143" t="str">
        <f>SUBSTITUTE(E220," ","")</f>
        <v>51009679127</v>
      </c>
      <c r="G220" s="143" t="s">
        <v>1144</v>
      </c>
      <c r="H220" s="143" t="s">
        <v>53</v>
      </c>
      <c r="I220" s="143">
        <v>4680</v>
      </c>
      <c r="J220" s="143">
        <v>-23.924237999999999</v>
      </c>
      <c r="K220" s="143">
        <v>151.33830800000001</v>
      </c>
      <c r="L220" s="143" t="s">
        <v>292</v>
      </c>
      <c r="M220" s="143" t="s">
        <v>292</v>
      </c>
      <c r="N220" s="143" t="s">
        <v>292</v>
      </c>
      <c r="O220" s="143"/>
      <c r="P220" s="143"/>
      <c r="Q220" s="143" t="s">
        <v>39</v>
      </c>
      <c r="R220" s="143" t="s">
        <v>17</v>
      </c>
      <c r="S220" s="147"/>
      <c r="T220" s="143"/>
      <c r="U220" s="143"/>
      <c r="V220" s="143"/>
      <c r="W220" s="143"/>
      <c r="X220" s="143"/>
      <c r="Y220" s="143"/>
      <c r="Z220" s="143"/>
      <c r="AA220" s="143"/>
      <c r="AB220" s="143"/>
      <c r="AC220" s="143"/>
      <c r="AD220" s="153"/>
      <c r="AE220" s="153"/>
      <c r="AF220" s="143"/>
      <c r="AG220" s="155"/>
      <c r="AH220" s="150" t="s">
        <v>37</v>
      </c>
      <c r="AI220" s="151" t="s">
        <v>76</v>
      </c>
      <c r="AJ220" s="151" t="s">
        <v>70</v>
      </c>
      <c r="AK220" s="151" t="s">
        <v>70</v>
      </c>
      <c r="AL220" s="151" t="s">
        <v>118</v>
      </c>
      <c r="AM220" s="151" t="s">
        <v>70</v>
      </c>
      <c r="AN220" s="151" t="s">
        <v>70</v>
      </c>
      <c r="AO220" s="151" t="s">
        <v>70</v>
      </c>
      <c r="AP220" s="152"/>
      <c r="AQ220" s="153"/>
      <c r="AR220" s="153"/>
      <c r="AS220" s="153"/>
      <c r="AT220" s="153"/>
      <c r="AU220" s="154"/>
      <c r="AV220" s="153" t="s">
        <v>1028</v>
      </c>
      <c r="AW220" s="153" t="s">
        <v>106</v>
      </c>
      <c r="AX220" s="153" t="s">
        <v>106</v>
      </c>
      <c r="AY220" s="153" t="s">
        <v>73</v>
      </c>
      <c r="AZ220" s="153" t="s">
        <v>73</v>
      </c>
      <c r="BA220" s="154" t="s">
        <v>73</v>
      </c>
      <c r="BB220" s="152">
        <v>1052982</v>
      </c>
      <c r="BC220" s="153">
        <v>1052982</v>
      </c>
      <c r="BD220" s="153">
        <v>1052982</v>
      </c>
      <c r="BE220" s="157">
        <v>918989</v>
      </c>
      <c r="BF220" s="157">
        <v>918989</v>
      </c>
      <c r="BG220" s="157"/>
      <c r="BH220" s="155"/>
      <c r="BI220" s="152">
        <v>996650</v>
      </c>
      <c r="BJ220" s="153">
        <v>933075</v>
      </c>
      <c r="BK220" s="153">
        <v>953718</v>
      </c>
      <c r="BL220" s="153">
        <v>904879</v>
      </c>
      <c r="BM220" s="153">
        <v>898887</v>
      </c>
      <c r="BN220" s="154">
        <f>SUMIF(BI220:BM220,"&gt;0",BI220:BM220)</f>
        <v>4687209</v>
      </c>
      <c r="BO220" s="156"/>
      <c r="BP220" s="148"/>
      <c r="BQ220" s="153"/>
      <c r="BR220" s="153"/>
      <c r="BS220" s="152"/>
      <c r="BT220" s="148"/>
      <c r="BU220" s="148"/>
      <c r="BV220" s="148"/>
      <c r="BW220" s="148"/>
      <c r="BX220" s="154">
        <f>SUM(BS220:BW220)</f>
        <v>0</v>
      </c>
      <c r="BY220" s="143"/>
      <c r="BZ220" s="143"/>
      <c r="CA220" s="143"/>
      <c r="CB220" s="143"/>
      <c r="CC220" s="143"/>
      <c r="CD220" s="259"/>
    </row>
    <row r="221" spans="1:82" ht="14.5">
      <c r="A221" s="143" t="s">
        <v>501</v>
      </c>
      <c r="B221" s="143"/>
      <c r="C221" s="144" t="s">
        <v>778</v>
      </c>
      <c r="D221" s="144" t="s">
        <v>1106</v>
      </c>
      <c r="E221" s="145" t="s">
        <v>779</v>
      </c>
      <c r="F221" s="143" t="str">
        <f>SUBSTITUTE(E221," ","")</f>
        <v>75107216535</v>
      </c>
      <c r="G221" s="143" t="s">
        <v>292</v>
      </c>
      <c r="H221" s="143" t="s">
        <v>81</v>
      </c>
      <c r="I221" s="143" t="s">
        <v>292</v>
      </c>
      <c r="J221" s="143" t="s">
        <v>292</v>
      </c>
      <c r="K221" s="143" t="s">
        <v>292</v>
      </c>
      <c r="L221" s="143" t="s">
        <v>292</v>
      </c>
      <c r="M221" s="143" t="s">
        <v>292</v>
      </c>
      <c r="N221" s="143" t="s">
        <v>292</v>
      </c>
      <c r="O221" s="143"/>
      <c r="P221" s="143"/>
      <c r="Q221" s="143" t="s">
        <v>278</v>
      </c>
      <c r="R221" s="143" t="s">
        <v>79</v>
      </c>
      <c r="S221" s="147"/>
      <c r="T221" s="143"/>
      <c r="U221" s="143"/>
      <c r="V221" s="143"/>
      <c r="W221" s="143"/>
      <c r="X221" s="143"/>
      <c r="Y221" s="143"/>
      <c r="Z221" s="143"/>
      <c r="AA221" s="143"/>
      <c r="AB221" s="143"/>
      <c r="AC221" s="143"/>
      <c r="AD221" s="153"/>
      <c r="AE221" s="153"/>
      <c r="AF221" s="143"/>
      <c r="AG221" s="155"/>
      <c r="AH221" s="147" t="s">
        <v>48</v>
      </c>
      <c r="AI221" s="151" t="s">
        <v>76</v>
      </c>
      <c r="AJ221" s="146"/>
      <c r="AK221" s="146" t="s">
        <v>70</v>
      </c>
      <c r="AL221" s="151" t="s">
        <v>118</v>
      </c>
      <c r="AM221" s="143"/>
      <c r="AN221" s="143"/>
      <c r="AO221" s="143"/>
      <c r="AP221" s="152"/>
      <c r="AQ221" s="153"/>
      <c r="AR221" s="153"/>
      <c r="AS221" s="153"/>
      <c r="AT221" s="153"/>
      <c r="AU221" s="154"/>
      <c r="AV221" s="153" t="s">
        <v>41</v>
      </c>
      <c r="AW221" s="153" t="s">
        <v>41</v>
      </c>
      <c r="AX221" s="153" t="s">
        <v>41</v>
      </c>
      <c r="AY221" s="153" t="s">
        <v>41</v>
      </c>
      <c r="AZ221" s="153" t="s">
        <v>98</v>
      </c>
      <c r="BA221" s="154" t="s">
        <v>98</v>
      </c>
      <c r="BB221" s="152">
        <v>705421</v>
      </c>
      <c r="BC221" s="153">
        <v>705421</v>
      </c>
      <c r="BD221" s="153">
        <v>705421</v>
      </c>
      <c r="BE221" s="157">
        <v>705421</v>
      </c>
      <c r="BF221" s="157">
        <v>666720</v>
      </c>
      <c r="BG221" s="157"/>
      <c r="BH221" s="155"/>
      <c r="BI221" s="152">
        <v>643938</v>
      </c>
      <c r="BJ221" s="153">
        <v>684091</v>
      </c>
      <c r="BK221" s="153">
        <v>625143</v>
      </c>
      <c r="BL221" s="153">
        <v>631384</v>
      </c>
      <c r="BM221" s="153">
        <v>656605</v>
      </c>
      <c r="BN221" s="154">
        <f>SUMIF(BI221:BM221,"&gt;0",BI221:BM221)</f>
        <v>3241161</v>
      </c>
      <c r="BO221" s="156"/>
      <c r="BP221" s="148"/>
      <c r="BQ221" s="153"/>
      <c r="BR221" s="153"/>
      <c r="BS221" s="152"/>
      <c r="BT221" s="148"/>
      <c r="BU221" s="148"/>
      <c r="BV221" s="148"/>
      <c r="BW221" s="148"/>
      <c r="BX221" s="154">
        <f>SUM(BS221:BW221)</f>
        <v>0</v>
      </c>
      <c r="BY221" s="143"/>
      <c r="BZ221" s="143"/>
      <c r="CA221" s="143"/>
      <c r="CB221" s="143"/>
      <c r="CC221" s="143"/>
      <c r="CD221" s="259"/>
    </row>
    <row r="222" spans="1:82" ht="14.5">
      <c r="A222" s="143" t="s">
        <v>316</v>
      </c>
      <c r="B222" s="143" t="s">
        <v>1105</v>
      </c>
      <c r="C222" s="144" t="s">
        <v>626</v>
      </c>
      <c r="D222" s="144" t="s">
        <v>1106</v>
      </c>
      <c r="E222" s="145" t="s">
        <v>627</v>
      </c>
      <c r="F222" s="143" t="str">
        <f>SUBSTITUTE(E222," ","")</f>
        <v>91009483201</v>
      </c>
      <c r="G222" s="143" t="s">
        <v>1107</v>
      </c>
      <c r="H222" s="143" t="s">
        <v>67</v>
      </c>
      <c r="I222" s="143">
        <v>7253</v>
      </c>
      <c r="J222" s="143">
        <v>-41.126601999999998</v>
      </c>
      <c r="K222" s="143">
        <v>146.870285</v>
      </c>
      <c r="L222" s="143">
        <v>1955</v>
      </c>
      <c r="M222" s="143">
        <v>67</v>
      </c>
      <c r="N222" s="143">
        <v>0</v>
      </c>
      <c r="O222" s="143"/>
      <c r="P222" s="143"/>
      <c r="Q222" s="143" t="s">
        <v>39</v>
      </c>
      <c r="R222" s="143" t="s">
        <v>17</v>
      </c>
      <c r="S222" s="147"/>
      <c r="T222" s="143"/>
      <c r="U222" s="143"/>
      <c r="V222" s="143"/>
      <c r="W222" s="143"/>
      <c r="X222" s="143"/>
      <c r="Y222" s="143"/>
      <c r="Z222" s="143"/>
      <c r="AA222" s="143"/>
      <c r="AB222" s="143"/>
      <c r="AC222" s="143"/>
      <c r="AD222" s="153"/>
      <c r="AE222" s="153"/>
      <c r="AF222" s="143"/>
      <c r="AG222" s="155"/>
      <c r="AH222" s="150" t="s">
        <v>37</v>
      </c>
      <c r="AI222" s="151" t="s">
        <v>76</v>
      </c>
      <c r="AJ222" s="151" t="s">
        <v>70</v>
      </c>
      <c r="AK222" s="151" t="s">
        <v>70</v>
      </c>
      <c r="AL222" s="151" t="s">
        <v>118</v>
      </c>
      <c r="AM222" s="151" t="s">
        <v>70</v>
      </c>
      <c r="AN222" s="151" t="s">
        <v>70</v>
      </c>
      <c r="AO222" s="151" t="s">
        <v>70</v>
      </c>
      <c r="AP222" s="152"/>
      <c r="AQ222" s="153"/>
      <c r="AR222" s="153"/>
      <c r="AS222" s="153"/>
      <c r="AT222" s="153"/>
      <c r="AU222" s="154"/>
      <c r="AV222" s="153" t="s">
        <v>41</v>
      </c>
      <c r="AW222" s="153" t="s">
        <v>41</v>
      </c>
      <c r="AX222" s="153" t="s">
        <v>41</v>
      </c>
      <c r="AY222" s="153" t="s">
        <v>73</v>
      </c>
      <c r="AZ222" s="153" t="s">
        <v>73</v>
      </c>
      <c r="BA222" s="154" t="s">
        <v>73</v>
      </c>
      <c r="BB222" s="152">
        <v>365384</v>
      </c>
      <c r="BC222" s="153">
        <v>365384</v>
      </c>
      <c r="BD222" s="153">
        <v>365384</v>
      </c>
      <c r="BE222" s="157">
        <v>374194</v>
      </c>
      <c r="BF222" s="157">
        <v>370510</v>
      </c>
      <c r="BG222" s="157"/>
      <c r="BH222" s="155"/>
      <c r="BI222" s="152">
        <v>355174</v>
      </c>
      <c r="BJ222" s="153">
        <v>355761</v>
      </c>
      <c r="BK222" s="153">
        <v>361287</v>
      </c>
      <c r="BL222" s="153">
        <v>372963</v>
      </c>
      <c r="BM222" s="153">
        <v>355698</v>
      </c>
      <c r="BN222" s="154">
        <f>SUMIF(BI222:BM222,"&gt;0",BI222:BM222)</f>
        <v>1800883</v>
      </c>
      <c r="BO222" s="156"/>
      <c r="BP222" s="148"/>
      <c r="BQ222" s="153"/>
      <c r="BR222" s="153"/>
      <c r="BS222" s="152"/>
      <c r="BT222" s="148"/>
      <c r="BU222" s="148"/>
      <c r="BV222" s="148"/>
      <c r="BW222" s="148"/>
      <c r="BX222" s="154">
        <f>SUM(BS222:BW222)</f>
        <v>0</v>
      </c>
      <c r="BY222" s="143"/>
      <c r="BZ222" s="143"/>
      <c r="CA222" s="143"/>
      <c r="CB222" s="143"/>
      <c r="CC222" s="143"/>
      <c r="CD222" s="259"/>
    </row>
    <row r="223" spans="1:82" ht="14.5">
      <c r="A223" s="143" t="s">
        <v>325</v>
      </c>
      <c r="B223" s="143" t="s">
        <v>1145</v>
      </c>
      <c r="C223" s="144" t="s">
        <v>634</v>
      </c>
      <c r="D223" s="144" t="s">
        <v>1106</v>
      </c>
      <c r="E223" s="145" t="s">
        <v>635</v>
      </c>
      <c r="F223" s="143" t="str">
        <f>SUBSTITUTE(E223," ","")</f>
        <v>49004558276</v>
      </c>
      <c r="G223" s="143" t="s">
        <v>1146</v>
      </c>
      <c r="H223" s="143" t="s">
        <v>81</v>
      </c>
      <c r="I223" s="143">
        <v>6751</v>
      </c>
      <c r="J223" s="143">
        <v>-22.418056</v>
      </c>
      <c r="K223" s="143">
        <v>117.310833</v>
      </c>
      <c r="L223" s="143" t="s">
        <v>292</v>
      </c>
      <c r="M223" s="143" t="s">
        <v>292</v>
      </c>
      <c r="N223" s="143" t="s">
        <v>292</v>
      </c>
      <c r="O223" s="143"/>
      <c r="P223" s="143"/>
      <c r="Q223" s="143" t="s">
        <v>125</v>
      </c>
      <c r="R223" s="143" t="s">
        <v>65</v>
      </c>
      <c r="S223" s="147"/>
      <c r="T223" s="143"/>
      <c r="U223" s="143"/>
      <c r="V223" s="143"/>
      <c r="W223" s="143"/>
      <c r="X223" s="143"/>
      <c r="Y223" s="143"/>
      <c r="Z223" s="143"/>
      <c r="AA223" s="143"/>
      <c r="AB223" s="143"/>
      <c r="AC223" s="143"/>
      <c r="AD223" s="153"/>
      <c r="AE223" s="153"/>
      <c r="AF223" s="143"/>
      <c r="AG223" s="155"/>
      <c r="AH223" s="150" t="s">
        <v>37</v>
      </c>
      <c r="AI223" s="151" t="s">
        <v>76</v>
      </c>
      <c r="AJ223" s="151" t="s">
        <v>70</v>
      </c>
      <c r="AK223" s="151" t="s">
        <v>70</v>
      </c>
      <c r="AL223" s="151" t="s">
        <v>118</v>
      </c>
      <c r="AM223" s="151" t="s">
        <v>70</v>
      </c>
      <c r="AN223" s="151" t="s">
        <v>70</v>
      </c>
      <c r="AO223" s="151" t="s">
        <v>70</v>
      </c>
      <c r="AP223" s="152"/>
      <c r="AQ223" s="153"/>
      <c r="AR223" s="153"/>
      <c r="AS223" s="153"/>
      <c r="AT223" s="153"/>
      <c r="AU223" s="154"/>
      <c r="AV223" s="153" t="s">
        <v>41</v>
      </c>
      <c r="AW223" s="153" t="s">
        <v>41</v>
      </c>
      <c r="AX223" s="153" t="s">
        <v>41</v>
      </c>
      <c r="AY223" s="153" t="s">
        <v>41</v>
      </c>
      <c r="AZ223" s="153" t="s">
        <v>73</v>
      </c>
      <c r="BA223" s="154" t="s">
        <v>73</v>
      </c>
      <c r="BB223" s="152">
        <v>316854</v>
      </c>
      <c r="BC223" s="153">
        <v>316854</v>
      </c>
      <c r="BD223" s="153">
        <v>316854</v>
      </c>
      <c r="BE223" s="157">
        <v>316854</v>
      </c>
      <c r="BF223" s="157">
        <v>321494</v>
      </c>
      <c r="BG223" s="157"/>
      <c r="BH223" s="155"/>
      <c r="BI223" s="152">
        <v>266172</v>
      </c>
      <c r="BJ223" s="153">
        <v>255798</v>
      </c>
      <c r="BK223" s="153">
        <v>252090</v>
      </c>
      <c r="BL223" s="153">
        <v>268256</v>
      </c>
      <c r="BM223" s="153">
        <v>301307</v>
      </c>
      <c r="BN223" s="154">
        <f>SUMIF(BI223:BM223,"&gt;0",BI223:BM223)</f>
        <v>1343623</v>
      </c>
      <c r="BO223" s="156"/>
      <c r="BP223" s="148"/>
      <c r="BQ223" s="153"/>
      <c r="BR223" s="153"/>
      <c r="BS223" s="152"/>
      <c r="BT223" s="148"/>
      <c r="BU223" s="148"/>
      <c r="BV223" s="148"/>
      <c r="BW223" s="148"/>
      <c r="BX223" s="154">
        <f>SUM(BS223:BW223)</f>
        <v>0</v>
      </c>
      <c r="BY223" s="143"/>
      <c r="BZ223" s="143"/>
      <c r="CA223" s="143"/>
      <c r="CB223" s="143"/>
      <c r="CC223" s="143"/>
      <c r="CD223" s="259"/>
    </row>
    <row r="224" spans="1:82" ht="14.5">
      <c r="A224" s="143" t="s">
        <v>532</v>
      </c>
      <c r="B224" s="143" t="s">
        <v>1849</v>
      </c>
      <c r="C224" s="144" t="s">
        <v>807</v>
      </c>
      <c r="D224" s="144" t="s">
        <v>1106</v>
      </c>
      <c r="E224" s="145" t="s">
        <v>808</v>
      </c>
      <c r="F224" s="143" t="str">
        <f>SUBSTITUTE(E224," ","")</f>
        <v>54137266285</v>
      </c>
      <c r="G224" s="143" t="s">
        <v>1849</v>
      </c>
      <c r="H224" s="143" t="s">
        <v>53</v>
      </c>
      <c r="I224" s="143">
        <v>4874</v>
      </c>
      <c r="J224" s="143">
        <v>-12.668441</v>
      </c>
      <c r="K224" s="143">
        <v>141.86861300000001</v>
      </c>
      <c r="L224" s="143">
        <v>1963</v>
      </c>
      <c r="M224" s="143">
        <v>59</v>
      </c>
      <c r="N224" s="143">
        <v>2042</v>
      </c>
      <c r="O224" s="143"/>
      <c r="P224" s="143"/>
      <c r="Q224" s="143" t="s">
        <v>50</v>
      </c>
      <c r="R224" s="143" t="s">
        <v>17</v>
      </c>
      <c r="S224" s="147"/>
      <c r="T224" s="143"/>
      <c r="U224" s="143"/>
      <c r="V224" s="143"/>
      <c r="W224" s="143"/>
      <c r="X224" s="143"/>
      <c r="Y224" s="143"/>
      <c r="Z224" s="143"/>
      <c r="AA224" s="143"/>
      <c r="AB224" s="143"/>
      <c r="AC224" s="143"/>
      <c r="AD224" s="153"/>
      <c r="AE224" s="153"/>
      <c r="AF224" s="143"/>
      <c r="AG224" s="155"/>
      <c r="AH224" s="150" t="s">
        <v>37</v>
      </c>
      <c r="AI224" s="151" t="s">
        <v>76</v>
      </c>
      <c r="AJ224" s="151" t="s">
        <v>70</v>
      </c>
      <c r="AK224" s="151" t="s">
        <v>70</v>
      </c>
      <c r="AL224" s="151" t="s">
        <v>118</v>
      </c>
      <c r="AM224" s="151" t="s">
        <v>70</v>
      </c>
      <c r="AN224" s="151" t="s">
        <v>70</v>
      </c>
      <c r="AO224" s="151" t="s">
        <v>70</v>
      </c>
      <c r="AP224" s="152" t="s">
        <v>26</v>
      </c>
      <c r="AQ224" s="153" t="s">
        <v>26</v>
      </c>
      <c r="AR224" s="160" t="str">
        <f>IF(BF224&gt;(BC224*1.1),"yes","no")</f>
        <v>yes</v>
      </c>
      <c r="AS224" s="160" t="str">
        <f>IF(BM224&gt;(BJ224*1.1),"yes","no")</f>
        <v>no</v>
      </c>
      <c r="AT224" s="160" t="str">
        <f>IF(BM224&gt;(BI224*1.1),"yes","no")</f>
        <v>no</v>
      </c>
      <c r="AU224" s="154">
        <v>272</v>
      </c>
      <c r="AV224" s="153" t="s">
        <v>41</v>
      </c>
      <c r="AW224" s="153" t="s">
        <v>52</v>
      </c>
      <c r="AX224" s="153" t="s">
        <v>52</v>
      </c>
      <c r="AY224" s="153" t="s">
        <v>98</v>
      </c>
      <c r="AZ224" s="153" t="s">
        <v>98</v>
      </c>
      <c r="BA224" s="154" t="s">
        <v>98</v>
      </c>
      <c r="BB224" s="152">
        <v>229697</v>
      </c>
      <c r="BC224" s="153">
        <v>229697</v>
      </c>
      <c r="BD224" s="153">
        <v>229697</v>
      </c>
      <c r="BE224" s="157">
        <v>277378</v>
      </c>
      <c r="BF224" s="157">
        <v>262591</v>
      </c>
      <c r="BG224" s="157"/>
      <c r="BH224" s="155"/>
      <c r="BI224" s="152">
        <v>228733</v>
      </c>
      <c r="BJ224" s="153">
        <v>254961</v>
      </c>
      <c r="BK224" s="153">
        <v>204705</v>
      </c>
      <c r="BL224" s="153">
        <v>249855</v>
      </c>
      <c r="BM224" s="153">
        <v>245840</v>
      </c>
      <c r="BN224" s="154">
        <f>SUMIF(BI224:BM224,"&gt;0",BI224:BM224)</f>
        <v>1184094</v>
      </c>
      <c r="BO224" s="156"/>
      <c r="BP224" s="148"/>
      <c r="BQ224" s="153"/>
      <c r="BR224" s="153"/>
      <c r="BS224" s="152"/>
      <c r="BT224" s="148"/>
      <c r="BU224" s="148"/>
      <c r="BV224" s="148"/>
      <c r="BW224" s="148"/>
      <c r="BX224" s="154">
        <f>SUM(BS224:BW224)</f>
        <v>0</v>
      </c>
      <c r="BY224" s="143"/>
      <c r="BZ224" s="143"/>
      <c r="CA224" s="143"/>
      <c r="CB224" s="143"/>
      <c r="CC224" s="143"/>
      <c r="CD224" s="143"/>
    </row>
    <row r="225" spans="1:82" ht="14.5">
      <c r="A225" s="143" t="s">
        <v>568</v>
      </c>
      <c r="B225" s="143" t="s">
        <v>1967</v>
      </c>
      <c r="C225" s="144" t="s">
        <v>634</v>
      </c>
      <c r="D225" s="144" t="s">
        <v>1106</v>
      </c>
      <c r="E225" s="145" t="s">
        <v>635</v>
      </c>
      <c r="F225" s="143" t="str">
        <f>SUBSTITUTE(E225," ","")</f>
        <v>49004558276</v>
      </c>
      <c r="G225" s="143" t="s">
        <v>1146</v>
      </c>
      <c r="H225" s="143" t="s">
        <v>81</v>
      </c>
      <c r="I225" s="143">
        <v>6751</v>
      </c>
      <c r="J225" s="143">
        <v>-22.782222000000001</v>
      </c>
      <c r="K225" s="143">
        <v>117.76222199999999</v>
      </c>
      <c r="L225" s="143" t="s">
        <v>292</v>
      </c>
      <c r="M225" s="143" t="s">
        <v>292</v>
      </c>
      <c r="N225" s="143" t="s">
        <v>292</v>
      </c>
      <c r="O225" s="143"/>
      <c r="P225" s="143"/>
      <c r="Q225" s="143" t="s">
        <v>125</v>
      </c>
      <c r="R225" s="143" t="s">
        <v>65</v>
      </c>
      <c r="S225" s="147"/>
      <c r="T225" s="143"/>
      <c r="U225" s="143"/>
      <c r="V225" s="143"/>
      <c r="W225" s="143"/>
      <c r="X225" s="143"/>
      <c r="Y225" s="143"/>
      <c r="Z225" s="143"/>
      <c r="AA225" s="143"/>
      <c r="AB225" s="143"/>
      <c r="AC225" s="143"/>
      <c r="AD225" s="153"/>
      <c r="AE225" s="153"/>
      <c r="AF225" s="143"/>
      <c r="AG225" s="155"/>
      <c r="AH225" s="150" t="s">
        <v>37</v>
      </c>
      <c r="AI225" s="151" t="s">
        <v>76</v>
      </c>
      <c r="AJ225" s="151" t="s">
        <v>70</v>
      </c>
      <c r="AK225" s="151" t="s">
        <v>70</v>
      </c>
      <c r="AL225" s="151" t="s">
        <v>118</v>
      </c>
      <c r="AM225" s="151" t="s">
        <v>70</v>
      </c>
      <c r="AN225" s="151" t="s">
        <v>70</v>
      </c>
      <c r="AO225" s="151" t="s">
        <v>70</v>
      </c>
      <c r="AP225" s="152"/>
      <c r="AQ225" s="153"/>
      <c r="AR225" s="153"/>
      <c r="AS225" s="153"/>
      <c r="AT225" s="153"/>
      <c r="AU225" s="154"/>
      <c r="AV225" s="153" t="s">
        <v>1028</v>
      </c>
      <c r="AW225" s="153" t="s">
        <v>106</v>
      </c>
      <c r="AX225" s="153" t="s">
        <v>73</v>
      </c>
      <c r="AY225" s="153" t="s">
        <v>73</v>
      </c>
      <c r="AZ225" s="153" t="s">
        <v>73</v>
      </c>
      <c r="BA225" s="154" t="s">
        <v>114</v>
      </c>
      <c r="BB225" s="152">
        <v>195096</v>
      </c>
      <c r="BC225" s="153">
        <v>195096</v>
      </c>
      <c r="BD225" s="153">
        <v>188447</v>
      </c>
      <c r="BE225" s="157">
        <v>188447</v>
      </c>
      <c r="BF225" s="157">
        <v>188447</v>
      </c>
      <c r="BG225" s="157"/>
      <c r="BH225" s="155"/>
      <c r="BI225" s="152">
        <v>160945</v>
      </c>
      <c r="BJ225" s="153">
        <v>150295</v>
      </c>
      <c r="BK225" s="153">
        <v>156557</v>
      </c>
      <c r="BL225" s="153">
        <v>193230</v>
      </c>
      <c r="BM225" s="153">
        <v>220784</v>
      </c>
      <c r="BN225" s="154">
        <f>SUMIF(BI225:BM225,"&gt;0",BI225:BM225)</f>
        <v>881811</v>
      </c>
      <c r="BO225" s="156"/>
      <c r="BP225" s="148"/>
      <c r="BQ225" s="153"/>
      <c r="BR225" s="153"/>
      <c r="BS225" s="152"/>
      <c r="BT225" s="148"/>
      <c r="BU225" s="148"/>
      <c r="BV225" s="148"/>
      <c r="BW225" s="148"/>
      <c r="BX225" s="154">
        <f>SUM(BS225:BW225)</f>
        <v>0</v>
      </c>
      <c r="BY225" s="143"/>
      <c r="BZ225" s="143"/>
      <c r="CA225" s="143"/>
      <c r="CB225" s="143"/>
      <c r="CC225" s="143"/>
      <c r="CD225" s="143"/>
    </row>
    <row r="226" spans="1:82" ht="14.5">
      <c r="A226" s="143" t="s">
        <v>598</v>
      </c>
      <c r="B226" s="143"/>
      <c r="C226" s="144" t="s">
        <v>846</v>
      </c>
      <c r="D226" s="144" t="s">
        <v>1106</v>
      </c>
      <c r="E226" s="145" t="s">
        <v>847</v>
      </c>
      <c r="F226" s="143" t="str">
        <f>SUBSTITUTE(E226," ","")</f>
        <v>56009181793</v>
      </c>
      <c r="G226" s="143" t="s">
        <v>1053</v>
      </c>
      <c r="H226" s="143" t="s">
        <v>81</v>
      </c>
      <c r="I226" s="143">
        <v>6753</v>
      </c>
      <c r="J226" s="143">
        <v>-22.756388999999999</v>
      </c>
      <c r="K226" s="143">
        <v>119.22499999999999</v>
      </c>
      <c r="L226" s="143">
        <v>1996</v>
      </c>
      <c r="M226" s="143">
        <v>26</v>
      </c>
      <c r="N226" s="143">
        <v>2026</v>
      </c>
      <c r="O226" s="143"/>
      <c r="P226" s="143"/>
      <c r="Q226" s="143" t="s">
        <v>125</v>
      </c>
      <c r="R226" s="143" t="s">
        <v>65</v>
      </c>
      <c r="S226" s="147"/>
      <c r="T226" s="143"/>
      <c r="U226" s="143"/>
      <c r="V226" s="143"/>
      <c r="W226" s="143"/>
      <c r="X226" s="143"/>
      <c r="Y226" s="143"/>
      <c r="Z226" s="143"/>
      <c r="AA226" s="143"/>
      <c r="AB226" s="143"/>
      <c r="AC226" s="143"/>
      <c r="AD226" s="153"/>
      <c r="AE226" s="153"/>
      <c r="AF226" s="143"/>
      <c r="AG226" s="155"/>
      <c r="AH226" s="150" t="s">
        <v>37</v>
      </c>
      <c r="AI226" s="151" t="s">
        <v>76</v>
      </c>
      <c r="AJ226" s="151" t="s">
        <v>70</v>
      </c>
      <c r="AK226" s="151" t="s">
        <v>70</v>
      </c>
      <c r="AL226" s="151" t="s">
        <v>118</v>
      </c>
      <c r="AM226" s="151" t="s">
        <v>70</v>
      </c>
      <c r="AN226" s="151" t="s">
        <v>70</v>
      </c>
      <c r="AO226" s="151" t="s">
        <v>70</v>
      </c>
      <c r="AP226" s="152"/>
      <c r="AQ226" s="153"/>
      <c r="AR226" s="153"/>
      <c r="AS226" s="153"/>
      <c r="AT226" s="153"/>
      <c r="AU226" s="154"/>
      <c r="AV226" s="153" t="s">
        <v>41</v>
      </c>
      <c r="AW226" s="153" t="s">
        <v>41</v>
      </c>
      <c r="AX226" s="153" t="s">
        <v>73</v>
      </c>
      <c r="AY226" s="153" t="s">
        <v>73</v>
      </c>
      <c r="AZ226" s="153" t="s">
        <v>98</v>
      </c>
      <c r="BA226" s="154" t="s">
        <v>98</v>
      </c>
      <c r="BB226" s="152">
        <v>124297</v>
      </c>
      <c r="BC226" s="153">
        <v>129106</v>
      </c>
      <c r="BD226" s="153">
        <v>142111</v>
      </c>
      <c r="BE226" s="157">
        <v>142111</v>
      </c>
      <c r="BF226" s="157">
        <v>269097</v>
      </c>
      <c r="BG226" s="157"/>
      <c r="BH226" s="155"/>
      <c r="BI226" s="152">
        <v>134049</v>
      </c>
      <c r="BJ226" s="153">
        <v>139207</v>
      </c>
      <c r="BK226" s="153">
        <v>151455</v>
      </c>
      <c r="BL226" s="153">
        <v>157330</v>
      </c>
      <c r="BM226" s="153">
        <v>158406</v>
      </c>
      <c r="BN226" s="154">
        <f>SUMIF(BI226:BM226,"&gt;0",BI226:BM226)</f>
        <v>740447</v>
      </c>
      <c r="BO226" s="156"/>
      <c r="BP226" s="148"/>
      <c r="BQ226" s="153"/>
      <c r="BR226" s="153"/>
      <c r="BS226" s="152"/>
      <c r="BT226" s="148"/>
      <c r="BU226" s="148"/>
      <c r="BV226" s="148"/>
      <c r="BW226" s="148"/>
      <c r="BX226" s="154">
        <f>SUM(BS226:BW226)</f>
        <v>0</v>
      </c>
      <c r="BY226" s="143"/>
      <c r="BZ226" s="143"/>
      <c r="CA226" s="143"/>
      <c r="CB226" s="143"/>
      <c r="CC226" s="143"/>
      <c r="CD226" s="143"/>
    </row>
    <row r="227" spans="1:82" ht="14.5">
      <c r="A227" s="143" t="s">
        <v>439</v>
      </c>
      <c r="B227" s="143"/>
      <c r="C227" s="144" t="s">
        <v>634</v>
      </c>
      <c r="D227" s="144" t="s">
        <v>1106</v>
      </c>
      <c r="E227" s="145" t="s">
        <v>635</v>
      </c>
      <c r="F227" s="143" t="str">
        <f>SUBSTITUTE(E227," ","")</f>
        <v>49004558276</v>
      </c>
      <c r="G227" s="143" t="s">
        <v>1146</v>
      </c>
      <c r="H227" s="143" t="s">
        <v>81</v>
      </c>
      <c r="I227" s="143">
        <v>6751</v>
      </c>
      <c r="J227" s="143">
        <v>-22.633889</v>
      </c>
      <c r="K227" s="143">
        <v>118.1225</v>
      </c>
      <c r="L227" s="143">
        <v>1994</v>
      </c>
      <c r="M227" s="143">
        <v>28</v>
      </c>
      <c r="N227" s="143">
        <v>2030</v>
      </c>
      <c r="O227" s="143"/>
      <c r="P227" s="143"/>
      <c r="Q227" s="143" t="s">
        <v>125</v>
      </c>
      <c r="R227" s="143" t="s">
        <v>65</v>
      </c>
      <c r="S227" s="147"/>
      <c r="T227" s="143"/>
      <c r="U227" s="143"/>
      <c r="V227" s="143"/>
      <c r="W227" s="143"/>
      <c r="X227" s="143"/>
      <c r="Y227" s="143"/>
      <c r="Z227" s="143"/>
      <c r="AA227" s="143"/>
      <c r="AB227" s="143"/>
      <c r="AC227" s="143"/>
      <c r="AD227" s="153"/>
      <c r="AE227" s="153"/>
      <c r="AF227" s="143"/>
      <c r="AG227" s="155"/>
      <c r="AH227" s="150" t="s">
        <v>37</v>
      </c>
      <c r="AI227" s="151" t="s">
        <v>76</v>
      </c>
      <c r="AJ227" s="151" t="s">
        <v>70</v>
      </c>
      <c r="AK227" s="151" t="s">
        <v>70</v>
      </c>
      <c r="AL227" s="151" t="s">
        <v>118</v>
      </c>
      <c r="AM227" s="151" t="s">
        <v>70</v>
      </c>
      <c r="AN227" s="151" t="s">
        <v>70</v>
      </c>
      <c r="AO227" s="151" t="s">
        <v>70</v>
      </c>
      <c r="AP227" s="152"/>
      <c r="AQ227" s="153"/>
      <c r="AR227" s="153"/>
      <c r="AS227" s="153"/>
      <c r="AT227" s="153"/>
      <c r="AU227" s="154"/>
      <c r="AV227" s="153" t="s">
        <v>41</v>
      </c>
      <c r="AW227" s="153" t="s">
        <v>41</v>
      </c>
      <c r="AX227" s="153" t="s">
        <v>41</v>
      </c>
      <c r="AY227" s="153" t="s">
        <v>41</v>
      </c>
      <c r="AZ227" s="153" t="s">
        <v>73</v>
      </c>
      <c r="BA227" s="154" t="s">
        <v>73</v>
      </c>
      <c r="BB227" s="152">
        <v>160856</v>
      </c>
      <c r="BC227" s="153">
        <v>160856</v>
      </c>
      <c r="BD227" s="153">
        <v>160856</v>
      </c>
      <c r="BE227" s="157">
        <v>160856</v>
      </c>
      <c r="BF227" s="157">
        <v>214614</v>
      </c>
      <c r="BG227" s="157"/>
      <c r="BH227" s="155"/>
      <c r="BI227" s="152">
        <v>138251</v>
      </c>
      <c r="BJ227" s="153">
        <v>130849</v>
      </c>
      <c r="BK227" s="153">
        <v>147503</v>
      </c>
      <c r="BL227" s="153">
        <v>143365</v>
      </c>
      <c r="BM227" s="153">
        <v>169927</v>
      </c>
      <c r="BN227" s="154">
        <f>SUMIF(BI227:BM227,"&gt;0",BI227:BM227)</f>
        <v>729895</v>
      </c>
      <c r="BO227" s="156"/>
      <c r="BP227" s="148"/>
      <c r="BQ227" s="153"/>
      <c r="BR227" s="153"/>
      <c r="BS227" s="152"/>
      <c r="BT227" s="148"/>
      <c r="BU227" s="148"/>
      <c r="BV227" s="148"/>
      <c r="BW227" s="148"/>
      <c r="BX227" s="154">
        <f>SUM(BS227:BW227)</f>
        <v>0</v>
      </c>
      <c r="BY227" s="143"/>
      <c r="BZ227" s="143"/>
      <c r="CA227" s="143"/>
      <c r="CB227" s="143"/>
      <c r="CC227" s="143"/>
      <c r="CD227" s="143"/>
    </row>
    <row r="228" spans="1:82" ht="14.5">
      <c r="A228" s="143" t="s">
        <v>326</v>
      </c>
      <c r="B228" s="143"/>
      <c r="C228" s="144" t="s">
        <v>634</v>
      </c>
      <c r="D228" s="144" t="s">
        <v>1106</v>
      </c>
      <c r="E228" s="145" t="s">
        <v>635</v>
      </c>
      <c r="F228" s="143" t="str">
        <f>SUBSTITUTE(E228," ","")</f>
        <v>49004558276</v>
      </c>
      <c r="G228" s="143" t="s">
        <v>1146</v>
      </c>
      <c r="H228" s="143" t="s">
        <v>81</v>
      </c>
      <c r="I228" s="143">
        <v>6751</v>
      </c>
      <c r="J228" s="143">
        <v>-22.582315159</v>
      </c>
      <c r="K228" s="143">
        <v>117.21615799999999</v>
      </c>
      <c r="L228" s="143" t="s">
        <v>292</v>
      </c>
      <c r="M228" s="143" t="s">
        <v>292</v>
      </c>
      <c r="N228" s="143" t="s">
        <v>292</v>
      </c>
      <c r="O228" s="143"/>
      <c r="P228" s="143"/>
      <c r="Q228" s="143" t="s">
        <v>125</v>
      </c>
      <c r="R228" s="143" t="s">
        <v>65</v>
      </c>
      <c r="S228" s="147"/>
      <c r="T228" s="143"/>
      <c r="U228" s="143"/>
      <c r="V228" s="143"/>
      <c r="W228" s="143"/>
      <c r="X228" s="143"/>
      <c r="Y228" s="143"/>
      <c r="Z228" s="143"/>
      <c r="AA228" s="143"/>
      <c r="AB228" s="143"/>
      <c r="AC228" s="143"/>
      <c r="AD228" s="153"/>
      <c r="AE228" s="153"/>
      <c r="AF228" s="143"/>
      <c r="AG228" s="155"/>
      <c r="AH228" s="150" t="s">
        <v>37</v>
      </c>
      <c r="AI228" s="151" t="s">
        <v>76</v>
      </c>
      <c r="AJ228" s="151" t="s">
        <v>70</v>
      </c>
      <c r="AK228" s="151" t="s">
        <v>70</v>
      </c>
      <c r="AL228" s="151" t="s">
        <v>118</v>
      </c>
      <c r="AM228" s="151" t="s">
        <v>70</v>
      </c>
      <c r="AN228" s="151" t="s">
        <v>70</v>
      </c>
      <c r="AO228" s="151" t="s">
        <v>70</v>
      </c>
      <c r="AP228" s="152"/>
      <c r="AQ228" s="153"/>
      <c r="AR228" s="153"/>
      <c r="AS228" s="153"/>
      <c r="AT228" s="153"/>
      <c r="AU228" s="154"/>
      <c r="AV228" s="153" t="s">
        <v>41</v>
      </c>
      <c r="AW228" s="153" t="s">
        <v>41</v>
      </c>
      <c r="AX228" s="153" t="s">
        <v>41</v>
      </c>
      <c r="AY228" s="153" t="s">
        <v>41</v>
      </c>
      <c r="AZ228" s="153" t="s">
        <v>73</v>
      </c>
      <c r="BA228" s="154" t="s">
        <v>73</v>
      </c>
      <c r="BB228" s="152">
        <v>144745</v>
      </c>
      <c r="BC228" s="153">
        <v>144745</v>
      </c>
      <c r="BD228" s="153">
        <v>144745</v>
      </c>
      <c r="BE228" s="157">
        <v>144745</v>
      </c>
      <c r="BF228" s="157">
        <v>395901</v>
      </c>
      <c r="BG228" s="157"/>
      <c r="BH228" s="155"/>
      <c r="BI228" s="152">
        <v>135344</v>
      </c>
      <c r="BJ228" s="153">
        <v>132773</v>
      </c>
      <c r="BK228" s="153">
        <v>134937</v>
      </c>
      <c r="BL228" s="153">
        <v>152565</v>
      </c>
      <c r="BM228" s="153">
        <v>165655</v>
      </c>
      <c r="BN228" s="154">
        <f>SUMIF(BI228:BM228,"&gt;0",BI228:BM228)</f>
        <v>721274</v>
      </c>
      <c r="BO228" s="156"/>
      <c r="BP228" s="148"/>
      <c r="BQ228" s="153"/>
      <c r="BR228" s="153"/>
      <c r="BS228" s="152"/>
      <c r="BT228" s="148"/>
      <c r="BU228" s="148"/>
      <c r="BV228" s="148"/>
      <c r="BW228" s="148"/>
      <c r="BX228" s="154">
        <f>SUM(BS228:BW228)</f>
        <v>0</v>
      </c>
      <c r="BY228" s="143"/>
      <c r="BZ228" s="143"/>
      <c r="CA228" s="143"/>
      <c r="CB228" s="143"/>
      <c r="CC228" s="143"/>
      <c r="CD228" s="259"/>
    </row>
    <row r="229" spans="1:82" ht="14.5">
      <c r="A229" s="143" t="s">
        <v>524</v>
      </c>
      <c r="B229" s="143" t="s">
        <v>1817</v>
      </c>
      <c r="C229" s="144" t="s">
        <v>1818</v>
      </c>
      <c r="D229" s="144" t="s">
        <v>1106</v>
      </c>
      <c r="E229" s="145" t="s">
        <v>1819</v>
      </c>
      <c r="F229" s="143" t="str">
        <f>SUBSTITUTE(E229," ","")</f>
        <v>71008550865</v>
      </c>
      <c r="G229" s="143" t="s">
        <v>1820</v>
      </c>
      <c r="H229" s="143" t="s">
        <v>42</v>
      </c>
      <c r="I229" s="143">
        <v>822</v>
      </c>
      <c r="J229" s="143">
        <v>-12.682448000000001</v>
      </c>
      <c r="K229" s="143">
        <v>132.92419100000001</v>
      </c>
      <c r="L229" s="143">
        <v>1980</v>
      </c>
      <c r="M229" s="143">
        <v>42</v>
      </c>
      <c r="N229" s="143">
        <v>2021</v>
      </c>
      <c r="O229" s="143"/>
      <c r="P229" s="143"/>
      <c r="Q229" s="143" t="s">
        <v>226</v>
      </c>
      <c r="R229" s="143" t="s">
        <v>79</v>
      </c>
      <c r="S229" s="147"/>
      <c r="T229" s="143"/>
      <c r="U229" s="143"/>
      <c r="V229" s="143"/>
      <c r="W229" s="143"/>
      <c r="X229" s="143"/>
      <c r="Y229" s="143"/>
      <c r="Z229" s="143"/>
      <c r="AA229" s="143"/>
      <c r="AB229" s="143"/>
      <c r="AC229" s="143"/>
      <c r="AD229" s="153"/>
      <c r="AE229" s="153"/>
      <c r="AF229" s="143"/>
      <c r="AG229" s="155"/>
      <c r="AH229" s="150" t="s">
        <v>37</v>
      </c>
      <c r="AI229" s="151" t="s">
        <v>76</v>
      </c>
      <c r="AJ229" s="151" t="s">
        <v>70</v>
      </c>
      <c r="AK229" s="151" t="s">
        <v>70</v>
      </c>
      <c r="AL229" s="151" t="s">
        <v>118</v>
      </c>
      <c r="AM229" s="151" t="s">
        <v>70</v>
      </c>
      <c r="AN229" s="151" t="s">
        <v>70</v>
      </c>
      <c r="AO229" s="151" t="s">
        <v>70</v>
      </c>
      <c r="AP229" s="152"/>
      <c r="AQ229" s="153"/>
      <c r="AR229" s="153"/>
      <c r="AS229" s="153"/>
      <c r="AT229" s="153"/>
      <c r="AU229" s="154"/>
      <c r="AV229" s="153" t="s">
        <v>1028</v>
      </c>
      <c r="AW229" s="153" t="s">
        <v>106</v>
      </c>
      <c r="AX229" s="153" t="s">
        <v>73</v>
      </c>
      <c r="AY229" s="153" t="s">
        <v>73</v>
      </c>
      <c r="AZ229" s="153" t="s">
        <v>73</v>
      </c>
      <c r="BA229" s="154" t="s">
        <v>114</v>
      </c>
      <c r="BB229" s="152">
        <v>138472</v>
      </c>
      <c r="BC229" s="153">
        <v>138472</v>
      </c>
      <c r="BD229" s="153">
        <v>158654</v>
      </c>
      <c r="BE229" s="157">
        <v>158654</v>
      </c>
      <c r="BF229" s="157">
        <v>158654</v>
      </c>
      <c r="BG229" s="157"/>
      <c r="BH229" s="155"/>
      <c r="BI229" s="152">
        <v>125030</v>
      </c>
      <c r="BJ229" s="153">
        <v>132575</v>
      </c>
      <c r="BK229" s="153">
        <v>134072</v>
      </c>
      <c r="BL229" s="153">
        <v>140243</v>
      </c>
      <c r="BM229" s="153">
        <v>107382</v>
      </c>
      <c r="BN229" s="154">
        <f>SUMIF(BI229:BM229,"&gt;0",BI229:BM229)</f>
        <v>639302</v>
      </c>
      <c r="BO229" s="156"/>
      <c r="BP229" s="148"/>
      <c r="BQ229" s="153"/>
      <c r="BR229" s="153"/>
      <c r="BS229" s="152"/>
      <c r="BT229" s="148"/>
      <c r="BU229" s="148"/>
      <c r="BV229" s="148"/>
      <c r="BW229" s="148"/>
      <c r="BX229" s="154">
        <f>SUM(BS229:BW229)</f>
        <v>0</v>
      </c>
      <c r="BY229" s="143"/>
      <c r="BZ229" s="143"/>
      <c r="CA229" s="143"/>
      <c r="CB229" s="143"/>
      <c r="CC229" s="143"/>
      <c r="CD229" s="143"/>
    </row>
    <row r="230" spans="1:82" ht="14.5">
      <c r="A230" s="143" t="s">
        <v>402</v>
      </c>
      <c r="B230" s="143" t="s">
        <v>1366</v>
      </c>
      <c r="C230" s="144" t="s">
        <v>693</v>
      </c>
      <c r="D230" s="144" t="s">
        <v>1106</v>
      </c>
      <c r="E230" s="145" t="s">
        <v>694</v>
      </c>
      <c r="F230" s="143" t="str">
        <f>SUBSTITUTE(E230," ","")</f>
        <v>76000453663</v>
      </c>
      <c r="G230" s="143" t="s">
        <v>1367</v>
      </c>
      <c r="H230" s="143" t="s">
        <v>42</v>
      </c>
      <c r="I230" s="143">
        <v>822</v>
      </c>
      <c r="J230" s="143">
        <v>-12.263142</v>
      </c>
      <c r="K230" s="143">
        <v>136.83871500000001</v>
      </c>
      <c r="L230" s="143">
        <v>1971</v>
      </c>
      <c r="M230" s="143">
        <v>51</v>
      </c>
      <c r="N230" s="143">
        <v>2030</v>
      </c>
      <c r="O230" s="143"/>
      <c r="P230" s="143"/>
      <c r="Q230" s="143" t="s">
        <v>50</v>
      </c>
      <c r="R230" s="143" t="s">
        <v>17</v>
      </c>
      <c r="S230" s="147" t="s">
        <v>612</v>
      </c>
      <c r="T230" s="143">
        <v>1</v>
      </c>
      <c r="U230" s="143" t="s">
        <v>1368</v>
      </c>
      <c r="V230" s="143" t="s">
        <v>1369</v>
      </c>
      <c r="W230" s="143" t="s">
        <v>1370</v>
      </c>
      <c r="X230" s="143" t="s">
        <v>1371</v>
      </c>
      <c r="Y230" s="143" t="s">
        <v>1372</v>
      </c>
      <c r="Z230" s="143" t="s">
        <v>1373</v>
      </c>
      <c r="AA230" s="143" t="s">
        <v>1374</v>
      </c>
      <c r="AB230" s="153">
        <v>733285</v>
      </c>
      <c r="AC230" s="153" t="s">
        <v>1375</v>
      </c>
      <c r="AD230" s="153">
        <f>(330000/5)</f>
        <v>66000</v>
      </c>
      <c r="AE230" s="153">
        <f>(282857/5)</f>
        <v>56571.4</v>
      </c>
      <c r="AF230" s="143" t="s">
        <v>1009</v>
      </c>
      <c r="AG230" s="155" t="s">
        <v>1376</v>
      </c>
      <c r="AH230" s="150" t="s">
        <v>37</v>
      </c>
      <c r="AI230" s="151" t="s">
        <v>76</v>
      </c>
      <c r="AJ230" s="151" t="s">
        <v>70</v>
      </c>
      <c r="AK230" s="151" t="s">
        <v>70</v>
      </c>
      <c r="AL230" s="151" t="s">
        <v>118</v>
      </c>
      <c r="AM230" s="151" t="s">
        <v>70</v>
      </c>
      <c r="AN230" s="151" t="s">
        <v>70</v>
      </c>
      <c r="AO230" s="151" t="s">
        <v>70</v>
      </c>
      <c r="AP230" s="152"/>
      <c r="AQ230" s="153"/>
      <c r="AR230" s="153"/>
      <c r="AS230" s="153"/>
      <c r="AT230" s="153"/>
      <c r="AU230" s="154"/>
      <c r="AV230" s="153" t="s">
        <v>41</v>
      </c>
      <c r="AW230" s="153" t="s">
        <v>41</v>
      </c>
      <c r="AX230" s="153" t="s">
        <v>41</v>
      </c>
      <c r="AY230" s="153" t="s">
        <v>41</v>
      </c>
      <c r="AZ230" s="153" t="s">
        <v>98</v>
      </c>
      <c r="BA230" s="154" t="s">
        <v>98</v>
      </c>
      <c r="BB230" s="152">
        <v>150123</v>
      </c>
      <c r="BC230" s="153">
        <v>150123</v>
      </c>
      <c r="BD230" s="153">
        <v>150123</v>
      </c>
      <c r="BE230" s="157">
        <v>150123</v>
      </c>
      <c r="BF230" s="157">
        <v>131943</v>
      </c>
      <c r="BG230" s="157"/>
      <c r="BH230" s="155"/>
      <c r="BI230" s="152">
        <v>129407</v>
      </c>
      <c r="BJ230" s="153">
        <v>128172</v>
      </c>
      <c r="BK230" s="153">
        <v>119736</v>
      </c>
      <c r="BL230" s="153">
        <v>118095</v>
      </c>
      <c r="BM230" s="153">
        <v>113073</v>
      </c>
      <c r="BN230" s="154">
        <f>SUMIF(BI230:BM230,"&gt;0",BI230:BM230)</f>
        <v>608483</v>
      </c>
      <c r="BO230" s="156"/>
      <c r="BP230" s="148"/>
      <c r="BQ230" s="153"/>
      <c r="BR230" s="153"/>
      <c r="BS230" s="152"/>
      <c r="BT230" s="148"/>
      <c r="BU230" s="148"/>
      <c r="BV230" s="148"/>
      <c r="BW230" s="148"/>
      <c r="BX230" s="154">
        <f>SUM(BS230:BW230)</f>
        <v>0</v>
      </c>
      <c r="BY230" s="143"/>
      <c r="BZ230" s="143"/>
      <c r="CA230" s="143"/>
      <c r="CB230" s="143"/>
      <c r="CC230" s="143"/>
      <c r="CD230" s="143"/>
    </row>
    <row r="231" spans="1:82" ht="14.5">
      <c r="A231" s="143" t="s">
        <v>496</v>
      </c>
      <c r="B231" s="143"/>
      <c r="C231" s="144" t="s">
        <v>634</v>
      </c>
      <c r="D231" s="144" t="s">
        <v>1106</v>
      </c>
      <c r="E231" s="145" t="s">
        <v>635</v>
      </c>
      <c r="F231" s="143" t="str">
        <f>SUBSTITUTE(E231," ","")</f>
        <v>49004558276</v>
      </c>
      <c r="G231" s="143" t="s">
        <v>1719</v>
      </c>
      <c r="H231" s="143" t="s">
        <v>81</v>
      </c>
      <c r="I231" s="143">
        <v>6751</v>
      </c>
      <c r="J231" s="143">
        <v>-23.234444</v>
      </c>
      <c r="K231" s="143">
        <v>117.585556</v>
      </c>
      <c r="L231" s="143">
        <v>1972</v>
      </c>
      <c r="M231" s="143">
        <v>50</v>
      </c>
      <c r="N231" s="143">
        <v>2039</v>
      </c>
      <c r="O231" s="143"/>
      <c r="P231" s="143"/>
      <c r="Q231" s="143" t="s">
        <v>125</v>
      </c>
      <c r="R231" s="143" t="s">
        <v>65</v>
      </c>
      <c r="S231" s="147"/>
      <c r="T231" s="143"/>
      <c r="U231" s="143"/>
      <c r="V231" s="143"/>
      <c r="W231" s="143"/>
      <c r="X231" s="143"/>
      <c r="Y231" s="143"/>
      <c r="Z231" s="143"/>
      <c r="AA231" s="143"/>
      <c r="AB231" s="143"/>
      <c r="AC231" s="143"/>
      <c r="AD231" s="153"/>
      <c r="AE231" s="153"/>
      <c r="AF231" s="143"/>
      <c r="AG231" s="155"/>
      <c r="AH231" s="150" t="s">
        <v>37</v>
      </c>
      <c r="AI231" s="151" t="s">
        <v>76</v>
      </c>
      <c r="AJ231" s="151" t="s">
        <v>70</v>
      </c>
      <c r="AK231" s="151" t="s">
        <v>70</v>
      </c>
      <c r="AL231" s="151" t="s">
        <v>118</v>
      </c>
      <c r="AM231" s="151" t="s">
        <v>70</v>
      </c>
      <c r="AN231" s="151" t="s">
        <v>70</v>
      </c>
      <c r="AO231" s="151" t="s">
        <v>70</v>
      </c>
      <c r="AP231" s="152"/>
      <c r="AQ231" s="153"/>
      <c r="AR231" s="153"/>
      <c r="AS231" s="153"/>
      <c r="AT231" s="153"/>
      <c r="AU231" s="154"/>
      <c r="AV231" s="153" t="s">
        <v>41</v>
      </c>
      <c r="AW231" s="153" t="s">
        <v>41</v>
      </c>
      <c r="AX231" s="153" t="s">
        <v>41</v>
      </c>
      <c r="AY231" s="153" t="s">
        <v>73</v>
      </c>
      <c r="AZ231" s="153" t="s">
        <v>73</v>
      </c>
      <c r="BA231" s="154" t="s">
        <v>73</v>
      </c>
      <c r="BB231" s="152">
        <v>131529</v>
      </c>
      <c r="BC231" s="153">
        <v>131529</v>
      </c>
      <c r="BD231" s="153">
        <v>131529</v>
      </c>
      <c r="BE231" s="157">
        <v>120836</v>
      </c>
      <c r="BF231" s="157">
        <v>120836</v>
      </c>
      <c r="BG231" s="157"/>
      <c r="BH231" s="155"/>
      <c r="BI231" s="152">
        <v>114947</v>
      </c>
      <c r="BJ231" s="153">
        <v>112186</v>
      </c>
      <c r="BK231" s="153">
        <v>101184</v>
      </c>
      <c r="BL231" s="153">
        <v>113335</v>
      </c>
      <c r="BM231" s="153">
        <v>133434</v>
      </c>
      <c r="BN231" s="154">
        <f>SUMIF(BI231:BM231,"&gt;0",BI231:BM231)</f>
        <v>575086</v>
      </c>
      <c r="BO231" s="156"/>
      <c r="BP231" s="148"/>
      <c r="BQ231" s="153"/>
      <c r="BR231" s="153"/>
      <c r="BS231" s="152"/>
      <c r="BT231" s="148"/>
      <c r="BU231" s="148"/>
      <c r="BV231" s="148"/>
      <c r="BW231" s="148"/>
      <c r="BX231" s="154">
        <f>SUM(BS231:BW231)</f>
        <v>0</v>
      </c>
      <c r="BY231" s="143"/>
      <c r="BZ231" s="143"/>
      <c r="CA231" s="143"/>
      <c r="CB231" s="143"/>
      <c r="CC231" s="143"/>
      <c r="CD231" s="143"/>
    </row>
    <row r="232" spans="1:82" ht="14.5">
      <c r="A232" s="143" t="s">
        <v>531</v>
      </c>
      <c r="B232" s="143" t="s">
        <v>1017</v>
      </c>
      <c r="C232" s="144" t="s">
        <v>1848</v>
      </c>
      <c r="D232" s="144" t="s">
        <v>1106</v>
      </c>
      <c r="E232" s="145" t="s">
        <v>806</v>
      </c>
      <c r="F232" s="143" t="str">
        <f>SUBSTITUTE(E232," ","")</f>
        <v>71242047864</v>
      </c>
      <c r="G232" s="143" t="s">
        <v>292</v>
      </c>
      <c r="H232" s="143" t="s">
        <v>53</v>
      </c>
      <c r="I232" s="143" t="s">
        <v>292</v>
      </c>
      <c r="J232" s="143" t="s">
        <v>292</v>
      </c>
      <c r="K232" s="143" t="s">
        <v>292</v>
      </c>
      <c r="L232" s="143" t="s">
        <v>292</v>
      </c>
      <c r="M232" s="143" t="s">
        <v>292</v>
      </c>
      <c r="N232" s="143" t="s">
        <v>292</v>
      </c>
      <c r="O232" s="143"/>
      <c r="P232" s="143"/>
      <c r="Q232" s="143" t="s">
        <v>282</v>
      </c>
      <c r="R232" s="143" t="s">
        <v>79</v>
      </c>
      <c r="S232" s="147"/>
      <c r="T232" s="143"/>
      <c r="U232" s="143"/>
      <c r="V232" s="143"/>
      <c r="W232" s="143"/>
      <c r="X232" s="143"/>
      <c r="Y232" s="143"/>
      <c r="Z232" s="143"/>
      <c r="AA232" s="143"/>
      <c r="AB232" s="143"/>
      <c r="AC232" s="143"/>
      <c r="AD232" s="153"/>
      <c r="AE232" s="153"/>
      <c r="AF232" s="143"/>
      <c r="AG232" s="155"/>
      <c r="AH232" s="147" t="s">
        <v>48</v>
      </c>
      <c r="AI232" s="151" t="s">
        <v>76</v>
      </c>
      <c r="AJ232" s="146"/>
      <c r="AK232" s="146" t="s">
        <v>70</v>
      </c>
      <c r="AL232" s="151" t="s">
        <v>118</v>
      </c>
      <c r="AM232" s="143"/>
      <c r="AN232" s="143"/>
      <c r="AO232" s="143"/>
      <c r="AP232" s="152"/>
      <c r="AQ232" s="153"/>
      <c r="AR232" s="153"/>
      <c r="AS232" s="153"/>
      <c r="AT232" s="153"/>
      <c r="AU232" s="154"/>
      <c r="AV232" s="153" t="s">
        <v>1028</v>
      </c>
      <c r="AW232" s="153" t="s">
        <v>106</v>
      </c>
      <c r="AX232" s="153" t="s">
        <v>106</v>
      </c>
      <c r="AY232" s="153" t="s">
        <v>106</v>
      </c>
      <c r="AZ232" s="153" t="s">
        <v>73</v>
      </c>
      <c r="BA232" s="154" t="s">
        <v>73</v>
      </c>
      <c r="BB232" s="152">
        <v>216744</v>
      </c>
      <c r="BC232" s="153">
        <v>216744</v>
      </c>
      <c r="BD232" s="153">
        <v>216744</v>
      </c>
      <c r="BE232" s="157">
        <v>216744</v>
      </c>
      <c r="BF232" s="157">
        <v>144297</v>
      </c>
      <c r="BG232" s="157"/>
      <c r="BH232" s="155"/>
      <c r="BI232" s="152">
        <v>125661</v>
      </c>
      <c r="BJ232" s="153">
        <v>119029</v>
      </c>
      <c r="BK232" s="153">
        <v>107997</v>
      </c>
      <c r="BL232" s="153">
        <v>111279</v>
      </c>
      <c r="BM232" s="153">
        <v>108109</v>
      </c>
      <c r="BN232" s="154">
        <f>SUMIF(BI232:BM232,"&gt;0",BI232:BM232)</f>
        <v>572075</v>
      </c>
      <c r="BO232" s="156"/>
      <c r="BP232" s="148"/>
      <c r="BQ232" s="153"/>
      <c r="BR232" s="153"/>
      <c r="BS232" s="152"/>
      <c r="BT232" s="148"/>
      <c r="BU232" s="148"/>
      <c r="BV232" s="148"/>
      <c r="BW232" s="148"/>
      <c r="BX232" s="154">
        <f>SUM(BS232:BW232)</f>
        <v>0</v>
      </c>
      <c r="BY232" s="143"/>
      <c r="BZ232" s="143"/>
      <c r="CA232" s="143"/>
      <c r="CB232" s="143"/>
      <c r="CC232" s="143"/>
      <c r="CD232" s="143"/>
    </row>
    <row r="233" spans="1:82" ht="14.5">
      <c r="A233" s="143" t="s">
        <v>334</v>
      </c>
      <c r="B233" s="143" t="s">
        <v>1176</v>
      </c>
      <c r="C233" s="144" t="s">
        <v>778</v>
      </c>
      <c r="D233" s="144" t="s">
        <v>1106</v>
      </c>
      <c r="E233" s="145" t="s">
        <v>779</v>
      </c>
      <c r="F233" s="143" t="str">
        <f>SUBSTITUTE(E233," ","")</f>
        <v>75107216535</v>
      </c>
      <c r="G233" s="143" t="s">
        <v>1177</v>
      </c>
      <c r="H233" s="143" t="s">
        <v>81</v>
      </c>
      <c r="I233" s="143">
        <v>6714</v>
      </c>
      <c r="J233" s="143">
        <v>-20.659721999999999</v>
      </c>
      <c r="K233" s="143">
        <v>117.12222199999999</v>
      </c>
      <c r="L233" s="143" t="s">
        <v>292</v>
      </c>
      <c r="M233" s="143" t="s">
        <v>292</v>
      </c>
      <c r="N233" s="143" t="s">
        <v>292</v>
      </c>
      <c r="O233" s="143"/>
      <c r="P233" s="143"/>
      <c r="Q233" s="143" t="s">
        <v>277</v>
      </c>
      <c r="R233" s="143" t="s">
        <v>79</v>
      </c>
      <c r="S233" s="147"/>
      <c r="T233" s="143"/>
      <c r="U233" s="143"/>
      <c r="V233" s="143"/>
      <c r="W233" s="143"/>
      <c r="X233" s="143"/>
      <c r="Y233" s="143"/>
      <c r="Z233" s="143"/>
      <c r="AA233" s="143"/>
      <c r="AB233" s="143"/>
      <c r="AC233" s="143"/>
      <c r="AD233" s="153"/>
      <c r="AE233" s="153"/>
      <c r="AF233" s="143"/>
      <c r="AG233" s="155"/>
      <c r="AH233" s="147" t="s">
        <v>48</v>
      </c>
      <c r="AI233" s="151" t="s">
        <v>76</v>
      </c>
      <c r="AJ233" s="146"/>
      <c r="AK233" s="146" t="s">
        <v>70</v>
      </c>
      <c r="AL233" s="151" t="s">
        <v>118</v>
      </c>
      <c r="AM233" s="143"/>
      <c r="AN233" s="143"/>
      <c r="AO233" s="143"/>
      <c r="AP233" s="152"/>
      <c r="AQ233" s="153"/>
      <c r="AR233" s="153"/>
      <c r="AS233" s="153"/>
      <c r="AT233" s="153"/>
      <c r="AU233" s="154"/>
      <c r="AV233" s="153" t="s">
        <v>106</v>
      </c>
      <c r="AW233" s="153" t="s">
        <v>106</v>
      </c>
      <c r="AX233" s="153" t="s">
        <v>106</v>
      </c>
      <c r="AY233" s="153" t="s">
        <v>106</v>
      </c>
      <c r="AZ233" s="153" t="s">
        <v>106</v>
      </c>
      <c r="BA233" s="154" t="s">
        <v>114</v>
      </c>
      <c r="BB233" s="152">
        <v>109955</v>
      </c>
      <c r="BC233" s="153">
        <v>109955</v>
      </c>
      <c r="BD233" s="153">
        <v>109955</v>
      </c>
      <c r="BE233" s="157">
        <v>109955</v>
      </c>
      <c r="BF233" s="157">
        <v>109955</v>
      </c>
      <c r="BG233" s="157"/>
      <c r="BH233" s="155"/>
      <c r="BI233" s="152" t="s">
        <v>920</v>
      </c>
      <c r="BJ233" s="153" t="s">
        <v>920</v>
      </c>
      <c r="BK233" s="153" t="s">
        <v>920</v>
      </c>
      <c r="BL233" s="153" t="s">
        <v>920</v>
      </c>
      <c r="BM233" s="153" t="s">
        <v>920</v>
      </c>
      <c r="BN233" s="154">
        <f>SUMIF(BI233:BM233,"&gt;0",BI233:BM233)</f>
        <v>0</v>
      </c>
      <c r="BO233" s="156"/>
      <c r="BP233" s="148"/>
      <c r="BQ233" s="153"/>
      <c r="BR233" s="153"/>
      <c r="BS233" s="152"/>
      <c r="BT233" s="148"/>
      <c r="BU233" s="148"/>
      <c r="BV233" s="148"/>
      <c r="BW233" s="148"/>
      <c r="BX233" s="154">
        <f>SUM(BS233:BW233)</f>
        <v>0</v>
      </c>
      <c r="BY233" s="143"/>
      <c r="BZ233" s="143"/>
      <c r="CA233" s="143"/>
      <c r="CB233" s="143"/>
      <c r="CC233" s="143"/>
      <c r="CD233" s="259"/>
    </row>
    <row r="234" spans="1:82" ht="14.5">
      <c r="A234" s="143" t="s">
        <v>569</v>
      </c>
      <c r="B234" s="143"/>
      <c r="C234" s="144" t="s">
        <v>1968</v>
      </c>
      <c r="D234" s="144" t="s">
        <v>1969</v>
      </c>
      <c r="E234" s="145" t="s">
        <v>1970</v>
      </c>
      <c r="F234" s="143" t="str">
        <f>SUBSTITUTE(E234," ","")</f>
        <v>68001862228</v>
      </c>
      <c r="G234" s="143" t="s">
        <v>1971</v>
      </c>
      <c r="H234" s="143" t="s">
        <v>31</v>
      </c>
      <c r="I234" s="143">
        <v>2322</v>
      </c>
      <c r="J234" s="143">
        <v>-32.823714000000002</v>
      </c>
      <c r="K234" s="143">
        <v>151.72310899999999</v>
      </c>
      <c r="L234" s="143">
        <v>1983</v>
      </c>
      <c r="M234" s="143">
        <v>39</v>
      </c>
      <c r="N234" s="143">
        <v>0</v>
      </c>
      <c r="O234" s="143"/>
      <c r="P234" s="143"/>
      <c r="Q234" s="143" t="s">
        <v>39</v>
      </c>
      <c r="R234" s="143" t="s">
        <v>17</v>
      </c>
      <c r="S234" s="147"/>
      <c r="T234" s="143"/>
      <c r="U234" s="143"/>
      <c r="V234" s="143"/>
      <c r="W234" s="143"/>
      <c r="X234" s="143"/>
      <c r="Y234" s="143"/>
      <c r="Z234" s="143"/>
      <c r="AA234" s="143"/>
      <c r="AB234" s="143"/>
      <c r="AC234" s="143"/>
      <c r="AD234" s="153"/>
      <c r="AE234" s="153"/>
      <c r="AF234" s="143"/>
      <c r="AG234" s="155"/>
      <c r="AH234" s="150" t="s">
        <v>37</v>
      </c>
      <c r="AI234" s="151" t="s">
        <v>76</v>
      </c>
      <c r="AJ234" s="151" t="s">
        <v>70</v>
      </c>
      <c r="AK234" s="151" t="s">
        <v>70</v>
      </c>
      <c r="AL234" s="151" t="s">
        <v>118</v>
      </c>
      <c r="AM234" s="151" t="s">
        <v>70</v>
      </c>
      <c r="AN234" s="151" t="s">
        <v>70</v>
      </c>
      <c r="AO234" s="151" t="s">
        <v>70</v>
      </c>
      <c r="AP234" s="152" t="s">
        <v>26</v>
      </c>
      <c r="AQ234" s="153" t="s">
        <v>26</v>
      </c>
      <c r="AR234" s="160" t="str">
        <f>IF(BF234&gt;(BD234*1.1),"yes","no")</f>
        <v>no</v>
      </c>
      <c r="AS234" s="160" t="str">
        <f>IF(BM234&gt;(BJ234*1.1),"yes","no")</f>
        <v>no</v>
      </c>
      <c r="AT234" s="160" t="str">
        <f>IF(BM234&gt;(BI234*1.1),"yes","no")</f>
        <v>no</v>
      </c>
      <c r="AU234" s="154">
        <v>0</v>
      </c>
      <c r="AV234" s="153" t="s">
        <v>41</v>
      </c>
      <c r="AW234" s="153" t="s">
        <v>41</v>
      </c>
      <c r="AX234" s="153" t="s">
        <v>80</v>
      </c>
      <c r="AY234" s="153" t="s">
        <v>80</v>
      </c>
      <c r="AZ234" s="153" t="s">
        <v>80</v>
      </c>
      <c r="BA234" s="154" t="s">
        <v>114</v>
      </c>
      <c r="BB234" s="152">
        <v>1163065</v>
      </c>
      <c r="BC234" s="153">
        <v>1163065</v>
      </c>
      <c r="BD234" s="153">
        <v>1281757</v>
      </c>
      <c r="BE234" s="157">
        <v>1285269</v>
      </c>
      <c r="BF234" s="157">
        <v>1257752</v>
      </c>
      <c r="BG234" s="157"/>
      <c r="BH234" s="155"/>
      <c r="BI234" s="152">
        <v>1126436</v>
      </c>
      <c r="BJ234" s="153">
        <v>1149498</v>
      </c>
      <c r="BK234" s="153">
        <v>1185710</v>
      </c>
      <c r="BL234" s="153">
        <v>1203979</v>
      </c>
      <c r="BM234" s="153">
        <v>1181106</v>
      </c>
      <c r="BN234" s="154">
        <f>SUMIF(BI234:BM234,"&gt;0",BI234:BM234)</f>
        <v>5846729</v>
      </c>
      <c r="BO234" s="156"/>
      <c r="BP234" s="148"/>
      <c r="BQ234" s="153"/>
      <c r="BR234" s="153"/>
      <c r="BS234" s="152"/>
      <c r="BT234" s="148"/>
      <c r="BU234" s="148"/>
      <c r="BV234" s="148"/>
      <c r="BW234" s="148"/>
      <c r="BX234" s="154">
        <f>SUM(BS234:BW234)</f>
        <v>0</v>
      </c>
      <c r="BY234" s="143"/>
      <c r="BZ234" s="143"/>
      <c r="CA234" s="143"/>
      <c r="CB234" s="143"/>
      <c r="CC234" s="143"/>
      <c r="CD234" s="259"/>
    </row>
    <row r="235" spans="1:82" ht="14.5">
      <c r="A235" s="143" t="s">
        <v>409</v>
      </c>
      <c r="B235" s="143"/>
      <c r="C235" s="144" t="s">
        <v>701</v>
      </c>
      <c r="D235" s="159" t="s">
        <v>1417</v>
      </c>
      <c r="E235" s="145" t="s">
        <v>702</v>
      </c>
      <c r="F235" s="143" t="str">
        <f>SUBSTITUTE(E235," ","")</f>
        <v>51115004129</v>
      </c>
      <c r="G235" s="143" t="s">
        <v>1418</v>
      </c>
      <c r="H235" s="143" t="s">
        <v>81</v>
      </c>
      <c r="I235" s="143">
        <v>6751</v>
      </c>
      <c r="J235" s="143">
        <v>-22.574999999999999</v>
      </c>
      <c r="K235" s="143">
        <v>119.0746</v>
      </c>
      <c r="L235" s="143">
        <v>2007</v>
      </c>
      <c r="M235" s="143">
        <v>15</v>
      </c>
      <c r="N235" s="143">
        <v>2027</v>
      </c>
      <c r="O235" s="143"/>
      <c r="P235" s="143"/>
      <c r="Q235" s="143" t="s">
        <v>125</v>
      </c>
      <c r="R235" s="143" t="s">
        <v>65</v>
      </c>
      <c r="S235" s="147"/>
      <c r="T235" s="143"/>
      <c r="U235" s="143"/>
      <c r="V235" s="143"/>
      <c r="W235" s="143"/>
      <c r="X235" s="143"/>
      <c r="Y235" s="143"/>
      <c r="Z235" s="143"/>
      <c r="AA235" s="143"/>
      <c r="AB235" s="143"/>
      <c r="AC235" s="143"/>
      <c r="AD235" s="153"/>
      <c r="AE235" s="153"/>
      <c r="AF235" s="143"/>
      <c r="AG235" s="155"/>
      <c r="AH235" s="150" t="s">
        <v>37</v>
      </c>
      <c r="AI235" s="151" t="s">
        <v>76</v>
      </c>
      <c r="AJ235" s="151" t="s">
        <v>70</v>
      </c>
      <c r="AK235" s="151" t="s">
        <v>70</v>
      </c>
      <c r="AL235" s="151" t="s">
        <v>118</v>
      </c>
      <c r="AM235" s="151" t="s">
        <v>70</v>
      </c>
      <c r="AN235" s="151" t="s">
        <v>70</v>
      </c>
      <c r="AO235" s="151" t="s">
        <v>70</v>
      </c>
      <c r="AP235" s="152"/>
      <c r="AQ235" s="153"/>
      <c r="AR235" s="153"/>
      <c r="AS235" s="153"/>
      <c r="AT235" s="153"/>
      <c r="AU235" s="154"/>
      <c r="AV235" s="153" t="s">
        <v>41</v>
      </c>
      <c r="AW235" s="153" t="s">
        <v>41</v>
      </c>
      <c r="AX235" s="153" t="s">
        <v>41</v>
      </c>
      <c r="AY235" s="153" t="s">
        <v>73</v>
      </c>
      <c r="AZ235" s="153" t="s">
        <v>73</v>
      </c>
      <c r="BA235" s="154" t="s">
        <v>73</v>
      </c>
      <c r="BB235" s="152">
        <v>146322</v>
      </c>
      <c r="BC235" s="153">
        <v>146322</v>
      </c>
      <c r="BD235" s="153">
        <v>146322</v>
      </c>
      <c r="BE235" s="157">
        <v>152296</v>
      </c>
      <c r="BF235" s="157">
        <v>152296</v>
      </c>
      <c r="BG235" s="157"/>
      <c r="BH235" s="155"/>
      <c r="BI235" s="152">
        <v>147190</v>
      </c>
      <c r="BJ235" s="153">
        <v>142053</v>
      </c>
      <c r="BK235" s="153">
        <v>148347</v>
      </c>
      <c r="BL235" s="153">
        <v>158056</v>
      </c>
      <c r="BM235" s="153">
        <v>155883</v>
      </c>
      <c r="BN235" s="154">
        <f>SUMIF(BI235:BM235,"&gt;0",BI235:BM235)</f>
        <v>751529</v>
      </c>
      <c r="BO235" s="156"/>
      <c r="BP235" s="148"/>
      <c r="BQ235" s="153"/>
      <c r="BR235" s="153"/>
      <c r="BS235" s="152"/>
      <c r="BT235" s="148"/>
      <c r="BU235" s="148"/>
      <c r="BV235" s="148"/>
      <c r="BW235" s="148"/>
      <c r="BX235" s="154">
        <f>SUM(BS235:BW235)</f>
        <v>0</v>
      </c>
      <c r="BY235" s="143"/>
      <c r="BZ235" s="143"/>
      <c r="CA235" s="143"/>
      <c r="CB235" s="143"/>
      <c r="CC235" s="143"/>
      <c r="CD235" s="143"/>
    </row>
    <row r="236" spans="1:82" ht="14.5">
      <c r="A236" s="143" t="s">
        <v>410</v>
      </c>
      <c r="B236" s="143" t="s">
        <v>1419</v>
      </c>
      <c r="C236" s="144" t="s">
        <v>701</v>
      </c>
      <c r="D236" s="159" t="s">
        <v>1417</v>
      </c>
      <c r="E236" s="145">
        <v>51115004129</v>
      </c>
      <c r="F236" s="143" t="str">
        <f>SUBSTITUTE(E236," ","")</f>
        <v>51115004129</v>
      </c>
      <c r="G236" s="143" t="s">
        <v>1420</v>
      </c>
      <c r="H236" s="143" t="s">
        <v>81</v>
      </c>
      <c r="I236" s="143">
        <v>6642</v>
      </c>
      <c r="J236" s="143">
        <v>-23.788171999999999</v>
      </c>
      <c r="K236" s="143">
        <v>119.383278</v>
      </c>
      <c r="L236" s="143">
        <v>2007</v>
      </c>
      <c r="M236" s="143">
        <v>15</v>
      </c>
      <c r="N236" s="143">
        <v>0</v>
      </c>
      <c r="O236" s="143"/>
      <c r="P236" s="143"/>
      <c r="Q236" s="143" t="s">
        <v>125</v>
      </c>
      <c r="R236" s="143" t="s">
        <v>65</v>
      </c>
      <c r="S236" s="147"/>
      <c r="T236" s="143"/>
      <c r="U236" s="143"/>
      <c r="V236" s="143"/>
      <c r="W236" s="143"/>
      <c r="X236" s="143"/>
      <c r="Y236" s="143"/>
      <c r="Z236" s="143"/>
      <c r="AA236" s="143"/>
      <c r="AB236" s="143"/>
      <c r="AC236" s="143"/>
      <c r="AD236" s="153"/>
      <c r="AE236" s="153"/>
      <c r="AF236" s="143"/>
      <c r="AG236" s="155"/>
      <c r="AH236" s="150" t="s">
        <v>37</v>
      </c>
      <c r="AI236" s="151" t="s">
        <v>76</v>
      </c>
      <c r="AJ236" s="151" t="s">
        <v>70</v>
      </c>
      <c r="AK236" s="151" t="s">
        <v>70</v>
      </c>
      <c r="AL236" s="151" t="s">
        <v>118</v>
      </c>
      <c r="AM236" s="151" t="s">
        <v>70</v>
      </c>
      <c r="AN236" s="151" t="s">
        <v>70</v>
      </c>
      <c r="AO236" s="151" t="s">
        <v>70</v>
      </c>
      <c r="AP236" s="152"/>
      <c r="AQ236" s="153"/>
      <c r="AR236" s="153"/>
      <c r="AS236" s="153"/>
      <c r="AT236" s="153"/>
      <c r="AU236" s="154"/>
      <c r="AV236" s="153" t="s">
        <v>114</v>
      </c>
      <c r="AW236" s="153" t="s">
        <v>114</v>
      </c>
      <c r="AX236" s="153" t="s">
        <v>114</v>
      </c>
      <c r="AY236" s="153" t="s">
        <v>114</v>
      </c>
      <c r="AZ236" s="153" t="s">
        <v>73</v>
      </c>
      <c r="BA236" s="154" t="s">
        <v>73</v>
      </c>
      <c r="BB236" s="152" t="s">
        <v>114</v>
      </c>
      <c r="BC236" s="153" t="s">
        <v>114</v>
      </c>
      <c r="BD236" s="153" t="s">
        <v>114</v>
      </c>
      <c r="BE236" s="157" t="s">
        <v>114</v>
      </c>
      <c r="BF236" s="157">
        <v>106522</v>
      </c>
      <c r="BG236" s="157"/>
      <c r="BH236" s="155"/>
      <c r="BI236" s="152" t="s">
        <v>920</v>
      </c>
      <c r="BJ236" s="153" t="s">
        <v>920</v>
      </c>
      <c r="BK236" s="153" t="s">
        <v>920</v>
      </c>
      <c r="BL236" s="153">
        <v>103695</v>
      </c>
      <c r="BM236" s="153">
        <v>105625</v>
      </c>
      <c r="BN236" s="154">
        <f>SUMIF(BI236:BM236,"&gt;0",BI236:BM236)</f>
        <v>209320</v>
      </c>
      <c r="BO236" s="156"/>
      <c r="BP236" s="148"/>
      <c r="BQ236" s="153"/>
      <c r="BR236" s="153"/>
      <c r="BS236" s="152"/>
      <c r="BT236" s="148"/>
      <c r="BU236" s="148"/>
      <c r="BV236" s="148"/>
      <c r="BW236" s="148"/>
      <c r="BX236" s="154">
        <f>SUM(BS236:BW236)</f>
        <v>0</v>
      </c>
      <c r="BY236" s="143"/>
      <c r="BZ236" s="143"/>
      <c r="CA236" s="143"/>
      <c r="CB236" s="143"/>
      <c r="CC236" s="143"/>
      <c r="CD236" s="143"/>
    </row>
    <row r="237" spans="1:82" ht="14.5">
      <c r="A237" s="143" t="s">
        <v>443</v>
      </c>
      <c r="B237" s="143" t="s">
        <v>1533</v>
      </c>
      <c r="C237" s="144" t="s">
        <v>732</v>
      </c>
      <c r="D237" s="159" t="s">
        <v>1534</v>
      </c>
      <c r="E237" s="145" t="s">
        <v>733</v>
      </c>
      <c r="F237" s="143" t="str">
        <f>SUBSTITUTE(E237," ","")</f>
        <v>71008694246</v>
      </c>
      <c r="G237" s="143" t="s">
        <v>1535</v>
      </c>
      <c r="H237" s="143" t="s">
        <v>81</v>
      </c>
      <c r="I237" s="143">
        <v>6716</v>
      </c>
      <c r="J237" s="143">
        <v>-21.66823909</v>
      </c>
      <c r="K237" s="143">
        <v>115.900001549</v>
      </c>
      <c r="L237" s="143">
        <v>2010</v>
      </c>
      <c r="M237" s="143">
        <v>12</v>
      </c>
      <c r="N237" s="143">
        <v>0</v>
      </c>
      <c r="O237" s="143"/>
      <c r="P237" s="143"/>
      <c r="Q237" s="143" t="s">
        <v>125</v>
      </c>
      <c r="R237" s="143" t="s">
        <v>65</v>
      </c>
      <c r="S237" s="147"/>
      <c r="T237" s="143"/>
      <c r="U237" s="143"/>
      <c r="V237" s="143"/>
      <c r="W237" s="143"/>
      <c r="X237" s="143"/>
      <c r="Y237" s="143"/>
      <c r="Z237" s="143"/>
      <c r="AA237" s="143"/>
      <c r="AB237" s="143"/>
      <c r="AC237" s="143"/>
      <c r="AD237" s="153"/>
      <c r="AE237" s="153"/>
      <c r="AF237" s="143"/>
      <c r="AG237" s="155"/>
      <c r="AH237" s="150" t="s">
        <v>37</v>
      </c>
      <c r="AI237" s="151" t="s">
        <v>76</v>
      </c>
      <c r="AJ237" s="151" t="s">
        <v>70</v>
      </c>
      <c r="AK237" s="151" t="s">
        <v>70</v>
      </c>
      <c r="AL237" s="151" t="s">
        <v>118</v>
      </c>
      <c r="AM237" s="151" t="s">
        <v>70</v>
      </c>
      <c r="AN237" s="151" t="s">
        <v>70</v>
      </c>
      <c r="AO237" s="151" t="s">
        <v>70</v>
      </c>
      <c r="AP237" s="152" t="s">
        <v>26</v>
      </c>
      <c r="AQ237" s="153" t="s">
        <v>37</v>
      </c>
      <c r="AR237" s="148" t="s">
        <v>1094</v>
      </c>
      <c r="AS237" s="148" t="s">
        <v>1094</v>
      </c>
      <c r="AT237" s="148" t="s">
        <v>1094</v>
      </c>
      <c r="AU237" s="154">
        <v>0</v>
      </c>
      <c r="AV237" s="153" t="s">
        <v>114</v>
      </c>
      <c r="AW237" s="153" t="s">
        <v>114</v>
      </c>
      <c r="AX237" s="153" t="s">
        <v>114</v>
      </c>
      <c r="AY237" s="153" t="s">
        <v>114</v>
      </c>
      <c r="AZ237" s="148" t="s">
        <v>1095</v>
      </c>
      <c r="BA237" s="169" t="s">
        <v>1095</v>
      </c>
      <c r="BB237" s="152" t="s">
        <v>114</v>
      </c>
      <c r="BC237" s="153" t="s">
        <v>114</v>
      </c>
      <c r="BD237" s="153" t="s">
        <v>114</v>
      </c>
      <c r="BE237" s="153" t="s">
        <v>114</v>
      </c>
      <c r="BF237" s="157">
        <v>100000</v>
      </c>
      <c r="BG237" s="157"/>
      <c r="BH237" s="155"/>
      <c r="BI237" s="152" t="s">
        <v>920</v>
      </c>
      <c r="BJ237" s="153" t="s">
        <v>920</v>
      </c>
      <c r="BK237" s="153" t="s">
        <v>920</v>
      </c>
      <c r="BL237" s="153" t="s">
        <v>920</v>
      </c>
      <c r="BM237" s="153">
        <v>114654</v>
      </c>
      <c r="BN237" s="154">
        <f>SUMIF(BI237:BM237,"&gt;0",BI237:BM237)</f>
        <v>114654</v>
      </c>
      <c r="BO237" s="156"/>
      <c r="BP237" s="148"/>
      <c r="BQ237" s="153"/>
      <c r="BR237" s="153"/>
      <c r="BS237" s="152"/>
      <c r="BT237" s="148"/>
      <c r="BU237" s="148"/>
      <c r="BV237" s="148"/>
      <c r="BW237" s="148"/>
      <c r="BX237" s="154">
        <f>SUM(BS237:BW237)</f>
        <v>0</v>
      </c>
      <c r="BY237" s="143"/>
      <c r="BZ237" s="143"/>
      <c r="CA237" s="143"/>
      <c r="CB237" s="143"/>
      <c r="CC237" s="143"/>
      <c r="CD237" s="143"/>
    </row>
    <row r="238" spans="1:82" ht="14.5">
      <c r="A238" s="143" t="s">
        <v>586</v>
      </c>
      <c r="B238" s="143"/>
      <c r="C238" s="144" t="s">
        <v>732</v>
      </c>
      <c r="D238" s="144" t="s">
        <v>2015</v>
      </c>
      <c r="E238" s="145" t="s">
        <v>733</v>
      </c>
      <c r="F238" s="143" t="str">
        <f>SUBSTITUTE(E238," ","")</f>
        <v>71008694246</v>
      </c>
      <c r="G238" s="143" t="s">
        <v>1053</v>
      </c>
      <c r="H238" s="143" t="s">
        <v>81</v>
      </c>
      <c r="I238" s="143">
        <v>6753</v>
      </c>
      <c r="J238" s="143">
        <v>-23.175277999999999</v>
      </c>
      <c r="K238" s="143">
        <v>118.758611</v>
      </c>
      <c r="L238" s="143" t="s">
        <v>292</v>
      </c>
      <c r="M238" s="143" t="s">
        <v>292</v>
      </c>
      <c r="N238" s="143" t="s">
        <v>292</v>
      </c>
      <c r="O238" s="143"/>
      <c r="P238" s="143"/>
      <c r="Q238" s="143" t="s">
        <v>125</v>
      </c>
      <c r="R238" s="143" t="s">
        <v>65</v>
      </c>
      <c r="S238" s="147"/>
      <c r="T238" s="143"/>
      <c r="U238" s="143"/>
      <c r="V238" s="143"/>
      <c r="W238" s="143"/>
      <c r="X238" s="143"/>
      <c r="Y238" s="143"/>
      <c r="Z238" s="143"/>
      <c r="AA238" s="143"/>
      <c r="AB238" s="143"/>
      <c r="AC238" s="143"/>
      <c r="AD238" s="153"/>
      <c r="AE238" s="153"/>
      <c r="AF238" s="143"/>
      <c r="AG238" s="155"/>
      <c r="AH238" s="150" t="s">
        <v>37</v>
      </c>
      <c r="AI238" s="151" t="s">
        <v>76</v>
      </c>
      <c r="AJ238" s="151" t="s">
        <v>70</v>
      </c>
      <c r="AK238" s="151" t="s">
        <v>70</v>
      </c>
      <c r="AL238" s="151" t="s">
        <v>118</v>
      </c>
      <c r="AM238" s="151" t="s">
        <v>70</v>
      </c>
      <c r="AN238" s="151" t="s">
        <v>70</v>
      </c>
      <c r="AO238" s="151" t="s">
        <v>70</v>
      </c>
      <c r="AP238" s="152"/>
      <c r="AQ238" s="153"/>
      <c r="AR238" s="153"/>
      <c r="AS238" s="153"/>
      <c r="AT238" s="153"/>
      <c r="AU238" s="154"/>
      <c r="AV238" s="153" t="s">
        <v>41</v>
      </c>
      <c r="AW238" s="153" t="s">
        <v>41</v>
      </c>
      <c r="AX238" s="153" t="s">
        <v>41</v>
      </c>
      <c r="AY238" s="153" t="s">
        <v>41</v>
      </c>
      <c r="AZ238" s="153" t="s">
        <v>73</v>
      </c>
      <c r="BA238" s="154" t="s">
        <v>73</v>
      </c>
      <c r="BB238" s="152">
        <v>244656</v>
      </c>
      <c r="BC238" s="153">
        <v>244656</v>
      </c>
      <c r="BD238" s="153">
        <v>244656</v>
      </c>
      <c r="BE238" s="157">
        <v>244656</v>
      </c>
      <c r="BF238" s="157">
        <v>331789</v>
      </c>
      <c r="BG238" s="157"/>
      <c r="BH238" s="155"/>
      <c r="BI238" s="152">
        <v>237319</v>
      </c>
      <c r="BJ238" s="153">
        <v>221493</v>
      </c>
      <c r="BK238" s="153">
        <v>245954</v>
      </c>
      <c r="BL238" s="153">
        <v>277921</v>
      </c>
      <c r="BM238" s="153">
        <v>287475</v>
      </c>
      <c r="BN238" s="154">
        <f>SUMIF(BI238:BM238,"&gt;0",BI238:BM238)</f>
        <v>1270162</v>
      </c>
      <c r="BO238" s="156"/>
      <c r="BP238" s="148"/>
      <c r="BQ238" s="153"/>
      <c r="BR238" s="153"/>
      <c r="BS238" s="152"/>
      <c r="BT238" s="148"/>
      <c r="BU238" s="148"/>
      <c r="BV238" s="148"/>
      <c r="BW238" s="148"/>
      <c r="BX238" s="154">
        <f>SUM(BS238:BW238)</f>
        <v>0</v>
      </c>
      <c r="BY238" s="143"/>
      <c r="BZ238" s="143"/>
      <c r="CA238" s="143"/>
      <c r="CB238" s="143"/>
      <c r="CC238" s="143"/>
      <c r="CD238" s="143"/>
    </row>
    <row r="239" spans="1:82" ht="14.5">
      <c r="A239" s="143" t="s">
        <v>451</v>
      </c>
      <c r="B239" s="143"/>
      <c r="C239" s="144" t="s">
        <v>614</v>
      </c>
      <c r="D239" s="161" t="s">
        <v>1055</v>
      </c>
      <c r="E239" s="145" t="s">
        <v>615</v>
      </c>
      <c r="F239" s="143" t="str">
        <f>SUBSTITUTE(E239," ","")</f>
        <v>80007550923</v>
      </c>
      <c r="G239" s="143" t="s">
        <v>107</v>
      </c>
      <c r="H239" s="143" t="s">
        <v>60</v>
      </c>
      <c r="I239" s="143">
        <v>5731</v>
      </c>
      <c r="J239" s="143">
        <v>-28.112400000000001</v>
      </c>
      <c r="K239" s="143">
        <v>140.20542800000001</v>
      </c>
      <c r="L239" s="143">
        <v>1968</v>
      </c>
      <c r="M239" s="143">
        <v>54</v>
      </c>
      <c r="N239" s="143">
        <v>0</v>
      </c>
      <c r="O239" s="143"/>
      <c r="P239" s="143"/>
      <c r="Q239" s="143" t="s">
        <v>121</v>
      </c>
      <c r="R239" s="143" t="s">
        <v>58</v>
      </c>
      <c r="S239" s="147" t="s">
        <v>612</v>
      </c>
      <c r="T239" s="143">
        <v>1</v>
      </c>
      <c r="U239" s="143" t="s">
        <v>1556</v>
      </c>
      <c r="V239" s="143" t="s">
        <v>1557</v>
      </c>
      <c r="W239" s="143" t="s">
        <v>1558</v>
      </c>
      <c r="X239" s="143" t="s">
        <v>1559</v>
      </c>
      <c r="Y239" s="143" t="s">
        <v>1560</v>
      </c>
      <c r="Z239" s="143" t="s">
        <v>1561</v>
      </c>
      <c r="AA239" s="162">
        <v>44207</v>
      </c>
      <c r="AB239" s="153">
        <v>0</v>
      </c>
      <c r="AC239" s="153" t="s">
        <v>1044</v>
      </c>
      <c r="AD239" s="153"/>
      <c r="AE239" s="153"/>
      <c r="AF239" s="143" t="s">
        <v>1045</v>
      </c>
      <c r="AG239" s="155"/>
      <c r="AH239" s="147" t="s">
        <v>26</v>
      </c>
      <c r="AI239" s="151" t="s">
        <v>76</v>
      </c>
      <c r="AJ239" s="146"/>
      <c r="AK239" s="146" t="s">
        <v>292</v>
      </c>
      <c r="AL239" s="146" t="s">
        <v>292</v>
      </c>
      <c r="AM239" s="143"/>
      <c r="AN239" s="143"/>
      <c r="AO239" s="143"/>
      <c r="AP239" s="152"/>
      <c r="AQ239" s="153"/>
      <c r="AR239" s="153"/>
      <c r="AS239" s="153"/>
      <c r="AT239" s="153"/>
      <c r="AU239" s="154"/>
      <c r="AV239" s="153" t="s">
        <v>41</v>
      </c>
      <c r="AW239" s="153" t="s">
        <v>41</v>
      </c>
      <c r="AX239" s="153" t="s">
        <v>41</v>
      </c>
      <c r="AY239" s="153" t="s">
        <v>98</v>
      </c>
      <c r="AZ239" s="153" t="s">
        <v>98</v>
      </c>
      <c r="BA239" s="154" t="s">
        <v>98</v>
      </c>
      <c r="BB239" s="152">
        <v>2545018</v>
      </c>
      <c r="BC239" s="153">
        <v>2545018</v>
      </c>
      <c r="BD239" s="153">
        <v>2545018</v>
      </c>
      <c r="BE239" s="157">
        <v>2583950</v>
      </c>
      <c r="BF239" s="157">
        <v>2501037</v>
      </c>
      <c r="BG239" s="157"/>
      <c r="BH239" s="155"/>
      <c r="BI239" s="152">
        <v>2446742</v>
      </c>
      <c r="BJ239" s="153">
        <v>2261727</v>
      </c>
      <c r="BK239" s="153">
        <v>2333075</v>
      </c>
      <c r="BL239" s="153">
        <v>2357489</v>
      </c>
      <c r="BM239" s="153">
        <v>2371988</v>
      </c>
      <c r="BN239" s="154">
        <f>SUMIF(BI239:BM239,"&gt;0",BI239:BM239)</f>
        <v>11771021</v>
      </c>
      <c r="BO239" s="156"/>
      <c r="BP239" s="148"/>
      <c r="BQ239" s="153"/>
      <c r="BR239" s="153"/>
      <c r="BS239" s="152"/>
      <c r="BT239" s="148"/>
      <c r="BU239" s="148"/>
      <c r="BV239" s="148"/>
      <c r="BW239" s="148"/>
      <c r="BX239" s="154">
        <f>SUM(BS239:BW239)</f>
        <v>0</v>
      </c>
      <c r="BY239" s="143"/>
      <c r="BZ239" s="143"/>
      <c r="CA239" s="143"/>
      <c r="CB239" s="143"/>
      <c r="CC239" s="143"/>
      <c r="CD239" s="259"/>
    </row>
    <row r="240" spans="1:82" ht="14.5">
      <c r="A240" s="143" t="s">
        <v>362</v>
      </c>
      <c r="B240" s="143" t="s">
        <v>1249</v>
      </c>
      <c r="C240" s="144" t="s">
        <v>614</v>
      </c>
      <c r="D240" s="161" t="s">
        <v>1055</v>
      </c>
      <c r="E240" s="145" t="s">
        <v>615</v>
      </c>
      <c r="F240" s="143" t="str">
        <f>SUBSTITUTE(E240," ","")</f>
        <v>80007550923</v>
      </c>
      <c r="G240" s="143" t="s">
        <v>1250</v>
      </c>
      <c r="H240" s="143" t="s">
        <v>42</v>
      </c>
      <c r="I240" s="143">
        <v>822</v>
      </c>
      <c r="J240" s="143">
        <v>-12.522068000000001</v>
      </c>
      <c r="K240" s="143">
        <v>130.86586700000001</v>
      </c>
      <c r="L240" s="143">
        <v>2006</v>
      </c>
      <c r="M240" s="143">
        <v>16</v>
      </c>
      <c r="N240" s="143">
        <v>2047</v>
      </c>
      <c r="O240" s="143"/>
      <c r="P240" s="143"/>
      <c r="Q240" s="143" t="s">
        <v>121</v>
      </c>
      <c r="R240" s="143" t="s">
        <v>58</v>
      </c>
      <c r="S240" s="147"/>
      <c r="T240" s="143"/>
      <c r="U240" s="143"/>
      <c r="V240" s="143"/>
      <c r="W240" s="143"/>
      <c r="X240" s="143"/>
      <c r="Y240" s="143"/>
      <c r="Z240" s="143"/>
      <c r="AA240" s="143"/>
      <c r="AB240" s="143"/>
      <c r="AC240" s="143"/>
      <c r="AD240" s="153"/>
      <c r="AE240" s="153"/>
      <c r="AF240" s="143"/>
      <c r="AG240" s="155"/>
      <c r="AH240" s="147" t="s">
        <v>26</v>
      </c>
      <c r="AI240" s="151" t="s">
        <v>76</v>
      </c>
      <c r="AJ240" s="146"/>
      <c r="AK240" s="146" t="s">
        <v>292</v>
      </c>
      <c r="AL240" s="146" t="s">
        <v>292</v>
      </c>
      <c r="AM240" s="143"/>
      <c r="AN240" s="143"/>
      <c r="AO240" s="143"/>
      <c r="AP240" s="152" t="s">
        <v>26</v>
      </c>
      <c r="AQ240" s="153" t="s">
        <v>37</v>
      </c>
      <c r="AR240" s="148" t="s">
        <v>1094</v>
      </c>
      <c r="AS240" s="160" t="str">
        <f>IF(BM240&gt;(BJ240*1.1),"yes","no")</f>
        <v>no</v>
      </c>
      <c r="AT240" s="160" t="str">
        <f>IF(BM240&gt;(BI240*1.1),"yes","no")</f>
        <v>no</v>
      </c>
      <c r="AU240" s="154">
        <v>0</v>
      </c>
      <c r="AV240" s="153" t="s">
        <v>1028</v>
      </c>
      <c r="AW240" s="153" t="s">
        <v>106</v>
      </c>
      <c r="AX240" s="153" t="s">
        <v>106</v>
      </c>
      <c r="AY240" s="153" t="s">
        <v>106</v>
      </c>
      <c r="AZ240" s="153" t="s">
        <v>80</v>
      </c>
      <c r="BA240" s="154" t="s">
        <v>80</v>
      </c>
      <c r="BB240" s="152">
        <v>1751841</v>
      </c>
      <c r="BC240" s="153">
        <v>1751841</v>
      </c>
      <c r="BD240" s="153">
        <v>1751841</v>
      </c>
      <c r="BE240" s="157">
        <v>1751841</v>
      </c>
      <c r="BF240" s="157">
        <v>1552284</v>
      </c>
      <c r="BG240" s="157"/>
      <c r="BH240" s="155"/>
      <c r="BI240" s="152">
        <v>1719521</v>
      </c>
      <c r="BJ240" s="153">
        <v>1578692</v>
      </c>
      <c r="BK240" s="153">
        <v>1657149</v>
      </c>
      <c r="BL240" s="153">
        <v>1348163</v>
      </c>
      <c r="BM240" s="153">
        <v>1590829</v>
      </c>
      <c r="BN240" s="154">
        <f>SUMIF(BI240:BM240,"&gt;0",BI240:BM240)</f>
        <v>7894354</v>
      </c>
      <c r="BO240" s="156"/>
      <c r="BP240" s="148"/>
      <c r="BQ240" s="153"/>
      <c r="BR240" s="153"/>
      <c r="BS240" s="152"/>
      <c r="BT240" s="148"/>
      <c r="BU240" s="148"/>
      <c r="BV240" s="148"/>
      <c r="BW240" s="148"/>
      <c r="BX240" s="154">
        <f>SUM(BS240:BW240)</f>
        <v>0</v>
      </c>
      <c r="BY240" s="143"/>
      <c r="BZ240" s="143"/>
      <c r="CA240" s="143"/>
      <c r="CB240" s="143"/>
      <c r="CC240" s="143"/>
      <c r="CD240" s="259"/>
    </row>
    <row r="241" spans="1:82" ht="14.5">
      <c r="A241" s="143" t="s">
        <v>383</v>
      </c>
      <c r="B241" s="143" t="s">
        <v>1327</v>
      </c>
      <c r="C241" s="144" t="s">
        <v>614</v>
      </c>
      <c r="D241" s="161" t="s">
        <v>1055</v>
      </c>
      <c r="E241" s="145" t="s">
        <v>615</v>
      </c>
      <c r="F241" s="143" t="str">
        <f>SUBSTITUTE(E241," ","")</f>
        <v>80007550923</v>
      </c>
      <c r="G241" s="143" t="s">
        <v>1328</v>
      </c>
      <c r="H241" s="143" t="s">
        <v>53</v>
      </c>
      <c r="I241" s="143">
        <v>4454</v>
      </c>
      <c r="J241" s="143">
        <v>-25.616371000000001</v>
      </c>
      <c r="K241" s="143">
        <v>148.92438899999999</v>
      </c>
      <c r="L241" s="143">
        <v>2014</v>
      </c>
      <c r="M241" s="143">
        <v>8</v>
      </c>
      <c r="N241" s="143">
        <v>0</v>
      </c>
      <c r="O241" s="143"/>
      <c r="P241" s="143"/>
      <c r="Q241" s="143" t="s">
        <v>121</v>
      </c>
      <c r="R241" s="143" t="s">
        <v>58</v>
      </c>
      <c r="S241" s="147"/>
      <c r="T241" s="143"/>
      <c r="U241" s="143"/>
      <c r="V241" s="143"/>
      <c r="W241" s="143"/>
      <c r="X241" s="143"/>
      <c r="Y241" s="143"/>
      <c r="Z241" s="143"/>
      <c r="AA241" s="143"/>
      <c r="AB241" s="143"/>
      <c r="AC241" s="143"/>
      <c r="AD241" s="153"/>
      <c r="AE241" s="153"/>
      <c r="AF241" s="143"/>
      <c r="AG241" s="155"/>
      <c r="AH241" s="147" t="s">
        <v>26</v>
      </c>
      <c r="AI241" s="151" t="s">
        <v>76</v>
      </c>
      <c r="AJ241" s="146"/>
      <c r="AK241" s="146" t="s">
        <v>292</v>
      </c>
      <c r="AL241" s="146" t="s">
        <v>292</v>
      </c>
      <c r="AM241" s="143"/>
      <c r="AN241" s="143"/>
      <c r="AO241" s="143"/>
      <c r="AP241" s="152"/>
      <c r="AQ241" s="153"/>
      <c r="AR241" s="153"/>
      <c r="AS241" s="153"/>
      <c r="AT241" s="153"/>
      <c r="AU241" s="154"/>
      <c r="AV241" s="153" t="s">
        <v>41</v>
      </c>
      <c r="AW241" s="153" t="s">
        <v>41</v>
      </c>
      <c r="AX241" s="153" t="s">
        <v>41</v>
      </c>
      <c r="AY241" s="153" t="s">
        <v>41</v>
      </c>
      <c r="AZ241" s="153" t="s">
        <v>98</v>
      </c>
      <c r="BA241" s="154" t="s">
        <v>98</v>
      </c>
      <c r="BB241" s="152">
        <v>505130</v>
      </c>
      <c r="BC241" s="153">
        <v>505130</v>
      </c>
      <c r="BD241" s="153">
        <v>505130</v>
      </c>
      <c r="BE241" s="157">
        <v>505130</v>
      </c>
      <c r="BF241" s="157">
        <v>546549</v>
      </c>
      <c r="BG241" s="157"/>
      <c r="BH241" s="155"/>
      <c r="BI241" s="152">
        <v>406827</v>
      </c>
      <c r="BJ241" s="153">
        <v>405572</v>
      </c>
      <c r="BK241" s="153">
        <v>382619</v>
      </c>
      <c r="BL241" s="153">
        <v>375838</v>
      </c>
      <c r="BM241" s="153">
        <v>347549</v>
      </c>
      <c r="BN241" s="154">
        <f>SUMIF(BI241:BM241,"&gt;0",BI241:BM241)</f>
        <v>1918405</v>
      </c>
      <c r="BO241" s="156"/>
      <c r="BP241" s="148"/>
      <c r="BQ241" s="153"/>
      <c r="BR241" s="153"/>
      <c r="BS241" s="152"/>
      <c r="BT241" s="148"/>
      <c r="BU241" s="148"/>
      <c r="BV241" s="148"/>
      <c r="BW241" s="148"/>
      <c r="BX241" s="154">
        <f>SUM(BS241:BW241)</f>
        <v>0</v>
      </c>
      <c r="BY241" s="143"/>
      <c r="BZ241" s="143"/>
      <c r="CA241" s="143"/>
      <c r="CB241" s="143"/>
      <c r="CC241" s="143"/>
      <c r="CD241" s="259"/>
    </row>
    <row r="242" spans="1:82" ht="14.5">
      <c r="A242" s="143" t="s">
        <v>575</v>
      </c>
      <c r="B242" s="143" t="s">
        <v>1980</v>
      </c>
      <c r="C242" s="144" t="s">
        <v>614</v>
      </c>
      <c r="D242" s="159" t="s">
        <v>1055</v>
      </c>
      <c r="E242" s="145" t="s">
        <v>1635</v>
      </c>
      <c r="F242" s="143" t="str">
        <f>SUBSTITUTE(E242," ","")</f>
        <v>39009301964</v>
      </c>
      <c r="G242" s="143" t="s">
        <v>1981</v>
      </c>
      <c r="H242" s="143" t="s">
        <v>81</v>
      </c>
      <c r="I242" s="143">
        <v>6710</v>
      </c>
      <c r="J242" s="143">
        <v>-20.651389000000002</v>
      </c>
      <c r="K242" s="143">
        <v>115.576667</v>
      </c>
      <c r="L242" s="173" t="s">
        <v>292</v>
      </c>
      <c r="M242" s="173" t="s">
        <v>292</v>
      </c>
      <c r="N242" s="173" t="s">
        <v>292</v>
      </c>
      <c r="O242" s="143"/>
      <c r="P242" s="143"/>
      <c r="Q242" s="143" t="s">
        <v>121</v>
      </c>
      <c r="R242" s="143" t="s">
        <v>58</v>
      </c>
      <c r="S242" s="147" t="s">
        <v>612</v>
      </c>
      <c r="T242" s="143">
        <v>2</v>
      </c>
      <c r="U242" s="143" t="s">
        <v>1982</v>
      </c>
      <c r="V242" s="143" t="s">
        <v>1983</v>
      </c>
      <c r="W242" s="143" t="s">
        <v>1370</v>
      </c>
      <c r="X242" s="143" t="s">
        <v>1125</v>
      </c>
      <c r="Y242" s="143" t="s">
        <v>1984</v>
      </c>
      <c r="Z242" s="143" t="s">
        <v>1985</v>
      </c>
      <c r="AA242" s="143" t="s">
        <v>1986</v>
      </c>
      <c r="AB242" s="153">
        <v>0</v>
      </c>
      <c r="AC242" s="153" t="s">
        <v>1044</v>
      </c>
      <c r="AD242" s="153"/>
      <c r="AE242" s="153"/>
      <c r="AF242" s="143" t="s">
        <v>1987</v>
      </c>
      <c r="AG242" s="155" t="s">
        <v>1988</v>
      </c>
      <c r="AH242" s="147" t="s">
        <v>26</v>
      </c>
      <c r="AI242" s="151" t="s">
        <v>76</v>
      </c>
      <c r="AJ242" s="146"/>
      <c r="AK242" s="146" t="s">
        <v>292</v>
      </c>
      <c r="AL242" s="146" t="s">
        <v>292</v>
      </c>
      <c r="AM242" s="143"/>
      <c r="AN242" s="143"/>
      <c r="AO242" s="143"/>
      <c r="AP242" s="152"/>
      <c r="AQ242" s="153"/>
      <c r="AR242" s="153"/>
      <c r="AS242" s="153"/>
      <c r="AT242" s="153"/>
      <c r="AU242" s="154"/>
      <c r="AV242" s="153" t="s">
        <v>1028</v>
      </c>
      <c r="AW242" s="153" t="s">
        <v>106</v>
      </c>
      <c r="AX242" s="153" t="s">
        <v>106</v>
      </c>
      <c r="AY242" s="153" t="s">
        <v>106</v>
      </c>
      <c r="AZ242" s="153" t="s">
        <v>73</v>
      </c>
      <c r="BA242" s="154" t="s">
        <v>73</v>
      </c>
      <c r="BB242" s="152">
        <v>620263</v>
      </c>
      <c r="BC242" s="153">
        <v>620263</v>
      </c>
      <c r="BD242" s="153">
        <v>620263</v>
      </c>
      <c r="BE242" s="157">
        <v>620263</v>
      </c>
      <c r="BF242" s="157">
        <v>463700</v>
      </c>
      <c r="BG242" s="157"/>
      <c r="BH242" s="155"/>
      <c r="BI242" s="152">
        <v>262828</v>
      </c>
      <c r="BJ242" s="153">
        <v>288711</v>
      </c>
      <c r="BK242" s="153">
        <v>268850</v>
      </c>
      <c r="BL242" s="153">
        <v>247931</v>
      </c>
      <c r="BM242" s="153">
        <v>301925</v>
      </c>
      <c r="BN242" s="154">
        <f>SUMIF(BI242:BM242,"&gt;0",BI242:BM242)</f>
        <v>1370245</v>
      </c>
      <c r="BO242" s="156"/>
      <c r="BP242" s="148"/>
      <c r="BQ242" s="153"/>
      <c r="BR242" s="153"/>
      <c r="BS242" s="152"/>
      <c r="BT242" s="148"/>
      <c r="BU242" s="148"/>
      <c r="BV242" s="148"/>
      <c r="BW242" s="148"/>
      <c r="BX242" s="154">
        <f>SUM(BS242:BW242)</f>
        <v>0</v>
      </c>
      <c r="BY242" s="143"/>
      <c r="BZ242" s="143"/>
      <c r="CA242" s="143"/>
      <c r="CB242" s="143"/>
      <c r="CC242" s="143"/>
      <c r="CD242" s="143"/>
    </row>
    <row r="243" spans="1:82" ht="14.5">
      <c r="A243" s="143" t="s">
        <v>475</v>
      </c>
      <c r="B243" s="143" t="s">
        <v>1634</v>
      </c>
      <c r="C243" s="144" t="s">
        <v>614</v>
      </c>
      <c r="D243" s="161" t="s">
        <v>1055</v>
      </c>
      <c r="E243" s="145" t="s">
        <v>1635</v>
      </c>
      <c r="F243" s="143" t="str">
        <f>SUBSTITUTE(E243," ","")</f>
        <v>39009301964</v>
      </c>
      <c r="G243" s="143" t="s">
        <v>1050</v>
      </c>
      <c r="H243" s="143" t="s">
        <v>81</v>
      </c>
      <c r="I243" s="143">
        <v>6707</v>
      </c>
      <c r="J243" s="143">
        <v>-21.403441999999998</v>
      </c>
      <c r="K243" s="143">
        <v>114.08815300000001</v>
      </c>
      <c r="L243" s="143" t="s">
        <v>292</v>
      </c>
      <c r="M243" s="143" t="s">
        <v>292</v>
      </c>
      <c r="N243" s="143" t="s">
        <v>292</v>
      </c>
      <c r="O243" s="143"/>
      <c r="P243" s="143"/>
      <c r="Q243" s="143" t="s">
        <v>121</v>
      </c>
      <c r="R243" s="143" t="s">
        <v>58</v>
      </c>
      <c r="S243" s="147"/>
      <c r="T243" s="143"/>
      <c r="U243" s="143"/>
      <c r="V243" s="143"/>
      <c r="W243" s="143"/>
      <c r="X243" s="143"/>
      <c r="Y243" s="143"/>
      <c r="Z243" s="143"/>
      <c r="AA243" s="143"/>
      <c r="AB243" s="143"/>
      <c r="AC243" s="143"/>
      <c r="AD243" s="153"/>
      <c r="AE243" s="153"/>
      <c r="AF243" s="143"/>
      <c r="AG243" s="155"/>
      <c r="AH243" s="147" t="s">
        <v>26</v>
      </c>
      <c r="AI243" s="151" t="s">
        <v>76</v>
      </c>
      <c r="AJ243" s="146"/>
      <c r="AK243" s="146" t="s">
        <v>292</v>
      </c>
      <c r="AL243" s="146" t="s">
        <v>292</v>
      </c>
      <c r="AM243" s="143"/>
      <c r="AN243" s="143"/>
      <c r="AO243" s="143"/>
      <c r="AP243" s="152"/>
      <c r="AQ243" s="153"/>
      <c r="AR243" s="153"/>
      <c r="AS243" s="153"/>
      <c r="AT243" s="153"/>
      <c r="AU243" s="154"/>
      <c r="AV243" s="153" t="s">
        <v>1028</v>
      </c>
      <c r="AW243" s="153" t="s">
        <v>106</v>
      </c>
      <c r="AX243" s="153" t="s">
        <v>106</v>
      </c>
      <c r="AY243" s="153" t="s">
        <v>106</v>
      </c>
      <c r="AZ243" s="153" t="s">
        <v>73</v>
      </c>
      <c r="BA243" s="154" t="s">
        <v>73</v>
      </c>
      <c r="BB243" s="152">
        <v>547856</v>
      </c>
      <c r="BC243" s="153">
        <v>547856</v>
      </c>
      <c r="BD243" s="153">
        <v>547856</v>
      </c>
      <c r="BE243" s="157">
        <v>547856</v>
      </c>
      <c r="BF243" s="157">
        <v>546091</v>
      </c>
      <c r="BG243" s="157"/>
      <c r="BH243" s="155" t="s">
        <v>1636</v>
      </c>
      <c r="BI243" s="152">
        <v>275343</v>
      </c>
      <c r="BJ243" s="153">
        <v>218175</v>
      </c>
      <c r="BK243" s="153">
        <v>303614</v>
      </c>
      <c r="BL243" s="153">
        <v>263388</v>
      </c>
      <c r="BM243" s="153" t="s">
        <v>920</v>
      </c>
      <c r="BN243" s="154">
        <f>SUMIF(BI243:BM243,"&gt;0",BI243:BM243)</f>
        <v>1060520</v>
      </c>
      <c r="BO243" s="156"/>
      <c r="BP243" s="148"/>
      <c r="BQ243" s="153"/>
      <c r="BR243" s="153"/>
      <c r="BS243" s="152"/>
      <c r="BT243" s="148"/>
      <c r="BU243" s="148"/>
      <c r="BV243" s="148"/>
      <c r="BW243" s="148"/>
      <c r="BX243" s="154">
        <f>SUM(BS243:BW243)</f>
        <v>0</v>
      </c>
      <c r="BY243" s="143"/>
      <c r="BZ243" s="143"/>
      <c r="CA243" s="143"/>
      <c r="CB243" s="143"/>
      <c r="CC243" s="143"/>
      <c r="CD243" s="143"/>
    </row>
    <row r="244" spans="1:82" ht="14.5">
      <c r="A244" s="143" t="s">
        <v>312</v>
      </c>
      <c r="B244" s="146" t="s">
        <v>1088</v>
      </c>
      <c r="C244" s="144" t="s">
        <v>614</v>
      </c>
      <c r="D244" s="161" t="s">
        <v>1055</v>
      </c>
      <c r="E244" s="145" t="s">
        <v>615</v>
      </c>
      <c r="F244" s="143" t="str">
        <f>SUBSTITUTE(E244," ","")</f>
        <v>80007550923</v>
      </c>
      <c r="G244" s="143" t="s">
        <v>1089</v>
      </c>
      <c r="H244" s="143" t="s">
        <v>53</v>
      </c>
      <c r="I244" s="143">
        <v>4480</v>
      </c>
      <c r="J244" s="143">
        <v>-27.392109999999999</v>
      </c>
      <c r="K244" s="143">
        <v>141.80956699999999</v>
      </c>
      <c r="L244" s="143" t="s">
        <v>292</v>
      </c>
      <c r="M244" s="143" t="s">
        <v>292</v>
      </c>
      <c r="N244" s="143" t="s">
        <v>292</v>
      </c>
      <c r="O244" s="143"/>
      <c r="P244" s="143"/>
      <c r="Q244" s="143" t="s">
        <v>121</v>
      </c>
      <c r="R244" s="143" t="s">
        <v>58</v>
      </c>
      <c r="S244" s="147"/>
      <c r="T244" s="143"/>
      <c r="U244" s="143"/>
      <c r="V244" s="143"/>
      <c r="W244" s="143"/>
      <c r="X244" s="143"/>
      <c r="Y244" s="143"/>
      <c r="Z244" s="143"/>
      <c r="AA244" s="143"/>
      <c r="AB244" s="143"/>
      <c r="AC244" s="143"/>
      <c r="AD244" s="153"/>
      <c r="AE244" s="153"/>
      <c r="AF244" s="143"/>
      <c r="AG244" s="155"/>
      <c r="AH244" s="147" t="s">
        <v>26</v>
      </c>
      <c r="AI244" s="151" t="s">
        <v>76</v>
      </c>
      <c r="AJ244" s="146"/>
      <c r="AK244" s="146" t="s">
        <v>292</v>
      </c>
      <c r="AL244" s="146" t="s">
        <v>292</v>
      </c>
      <c r="AM244" s="143"/>
      <c r="AN244" s="143"/>
      <c r="AO244" s="143"/>
      <c r="AP244" s="152"/>
      <c r="AQ244" s="153"/>
      <c r="AR244" s="153"/>
      <c r="AS244" s="153"/>
      <c r="AT244" s="153"/>
      <c r="AU244" s="154"/>
      <c r="AV244" s="153" t="s">
        <v>1028</v>
      </c>
      <c r="AW244" s="153" t="s">
        <v>106</v>
      </c>
      <c r="AX244" s="153" t="s">
        <v>106</v>
      </c>
      <c r="AY244" s="153" t="s">
        <v>106</v>
      </c>
      <c r="AZ244" s="153" t="s">
        <v>73</v>
      </c>
      <c r="BA244" s="154" t="s">
        <v>73</v>
      </c>
      <c r="BB244" s="152">
        <v>439404</v>
      </c>
      <c r="BC244" s="153">
        <v>439404</v>
      </c>
      <c r="BD244" s="153">
        <v>439404</v>
      </c>
      <c r="BE244" s="157">
        <v>439404</v>
      </c>
      <c r="BF244" s="157">
        <v>200749</v>
      </c>
      <c r="BG244" s="157"/>
      <c r="BH244" s="155"/>
      <c r="BI244" s="152">
        <v>156057</v>
      </c>
      <c r="BJ244" s="153">
        <v>165526</v>
      </c>
      <c r="BK244" s="153">
        <v>161017</v>
      </c>
      <c r="BL244" s="153">
        <v>169094</v>
      </c>
      <c r="BM244" s="153">
        <v>176097</v>
      </c>
      <c r="BN244" s="154">
        <f>SUMIF(BI244:BM244,"&gt;0",BI244:BM244)</f>
        <v>827791</v>
      </c>
      <c r="BO244" s="156"/>
      <c r="BP244" s="148"/>
      <c r="BQ244" s="153"/>
      <c r="BR244" s="153"/>
      <c r="BS244" s="152"/>
      <c r="BT244" s="148"/>
      <c r="BU244" s="148"/>
      <c r="BV244" s="148"/>
      <c r="BW244" s="148"/>
      <c r="BX244" s="154">
        <f>SUM(BS244:BW244)</f>
        <v>0</v>
      </c>
      <c r="BY244" s="143"/>
      <c r="BZ244" s="143"/>
      <c r="CA244" s="143"/>
      <c r="CB244" s="143"/>
      <c r="CC244" s="143"/>
      <c r="CD244" s="259"/>
    </row>
    <row r="245" spans="1:82" ht="14.5">
      <c r="A245" s="143" t="s">
        <v>506</v>
      </c>
      <c r="B245" s="143" t="s">
        <v>1744</v>
      </c>
      <c r="C245" s="144" t="s">
        <v>614</v>
      </c>
      <c r="D245" s="161" t="s">
        <v>1055</v>
      </c>
      <c r="E245" s="145" t="s">
        <v>615</v>
      </c>
      <c r="F245" s="143" t="str">
        <f>SUBSTITUTE(E245," ","")</f>
        <v>80007550923</v>
      </c>
      <c r="G245" s="143" t="s">
        <v>1503</v>
      </c>
      <c r="H245" s="143" t="s">
        <v>60</v>
      </c>
      <c r="I245" s="143">
        <v>5600</v>
      </c>
      <c r="J245" s="143">
        <v>-32.989097000000001</v>
      </c>
      <c r="K245" s="143">
        <v>137.76912200000001</v>
      </c>
      <c r="L245" s="143" t="s">
        <v>292</v>
      </c>
      <c r="M245" s="143" t="s">
        <v>292</v>
      </c>
      <c r="N245" s="143" t="s">
        <v>292</v>
      </c>
      <c r="O245" s="143"/>
      <c r="P245" s="143"/>
      <c r="Q245" s="143" t="s">
        <v>121</v>
      </c>
      <c r="R245" s="143" t="s">
        <v>58</v>
      </c>
      <c r="S245" s="147"/>
      <c r="T245" s="143"/>
      <c r="U245" s="143"/>
      <c r="V245" s="143"/>
      <c r="W245" s="143"/>
      <c r="X245" s="143"/>
      <c r="Y245" s="143"/>
      <c r="Z245" s="143"/>
      <c r="AA245" s="143"/>
      <c r="AB245" s="143"/>
      <c r="AC245" s="143"/>
      <c r="AD245" s="153"/>
      <c r="AE245" s="153"/>
      <c r="AF245" s="143"/>
      <c r="AG245" s="155"/>
      <c r="AH245" s="147" t="s">
        <v>26</v>
      </c>
      <c r="AI245" s="151" t="s">
        <v>76</v>
      </c>
      <c r="AJ245" s="146"/>
      <c r="AK245" s="146" t="s">
        <v>292</v>
      </c>
      <c r="AL245" s="146" t="s">
        <v>292</v>
      </c>
      <c r="AM245" s="143"/>
      <c r="AN245" s="143"/>
      <c r="AO245" s="143"/>
      <c r="AP245" s="152"/>
      <c r="AQ245" s="153"/>
      <c r="AR245" s="153"/>
      <c r="AS245" s="153"/>
      <c r="AT245" s="153"/>
      <c r="AU245" s="154"/>
      <c r="AV245" s="153" t="s">
        <v>106</v>
      </c>
      <c r="AW245" s="153" t="s">
        <v>106</v>
      </c>
      <c r="AX245" s="153" t="s">
        <v>106</v>
      </c>
      <c r="AY245" s="153" t="s">
        <v>106</v>
      </c>
      <c r="AZ245" s="153" t="s">
        <v>73</v>
      </c>
      <c r="BA245" s="154" t="s">
        <v>73</v>
      </c>
      <c r="BB245" s="152">
        <v>140648</v>
      </c>
      <c r="BC245" s="153">
        <v>140648</v>
      </c>
      <c r="BD245" s="153">
        <v>140648</v>
      </c>
      <c r="BE245" s="157">
        <v>140648</v>
      </c>
      <c r="BF245" s="157">
        <v>142034</v>
      </c>
      <c r="BG245" s="157"/>
      <c r="BH245" s="155"/>
      <c r="BI245" s="152" t="s">
        <v>920</v>
      </c>
      <c r="BJ245" s="153">
        <v>116608</v>
      </c>
      <c r="BK245" s="153">
        <v>114830</v>
      </c>
      <c r="BL245" s="153">
        <v>137110</v>
      </c>
      <c r="BM245" s="153">
        <v>120592</v>
      </c>
      <c r="BN245" s="154">
        <f>SUMIF(BI245:BM245,"&gt;0",BI245:BM245)</f>
        <v>489140</v>
      </c>
      <c r="BO245" s="156"/>
      <c r="BP245" s="148"/>
      <c r="BQ245" s="153"/>
      <c r="BR245" s="153"/>
      <c r="BS245" s="152"/>
      <c r="BT245" s="148"/>
      <c r="BU245" s="148"/>
      <c r="BV245" s="148"/>
      <c r="BW245" s="148"/>
      <c r="BX245" s="154">
        <f>SUM(BS245:BW245)</f>
        <v>0</v>
      </c>
      <c r="BY245" s="143"/>
      <c r="BZ245" s="143"/>
      <c r="CA245" s="143"/>
      <c r="CB245" s="143"/>
      <c r="CC245" s="143"/>
      <c r="CD245" s="143"/>
    </row>
    <row r="246" spans="1:82" ht="14.5">
      <c r="A246" s="143" t="s">
        <v>319</v>
      </c>
      <c r="B246" s="143"/>
      <c r="C246" s="144"/>
      <c r="D246" s="161" t="s">
        <v>1055</v>
      </c>
      <c r="E246" s="145" t="s">
        <v>615</v>
      </c>
      <c r="F246" s="143" t="str">
        <f>SUBSTITUTE(E246," ","")</f>
        <v>80007550923</v>
      </c>
      <c r="G246" s="143" t="s">
        <v>107</v>
      </c>
      <c r="H246" s="143" t="s">
        <v>60</v>
      </c>
      <c r="I246" s="143">
        <v>5731</v>
      </c>
      <c r="J246" s="143">
        <v>-28.237954999999999</v>
      </c>
      <c r="K246" s="143">
        <v>140.273762</v>
      </c>
      <c r="L246" s="143" t="s">
        <v>292</v>
      </c>
      <c r="M246" s="143" t="s">
        <v>292</v>
      </c>
      <c r="N246" s="143" t="s">
        <v>292</v>
      </c>
      <c r="O246" s="143"/>
      <c r="P246" s="143"/>
      <c r="Q246" s="143" t="s">
        <v>121</v>
      </c>
      <c r="R246" s="143" t="s">
        <v>58</v>
      </c>
      <c r="S246" s="147"/>
      <c r="T246" s="143"/>
      <c r="U246" s="143"/>
      <c r="V246" s="143"/>
      <c r="W246" s="143"/>
      <c r="X246" s="143"/>
      <c r="Y246" s="143"/>
      <c r="Z246" s="143"/>
      <c r="AA246" s="143"/>
      <c r="AB246" s="143"/>
      <c r="AC246" s="143"/>
      <c r="AD246" s="153"/>
      <c r="AE246" s="153"/>
      <c r="AF246" s="143"/>
      <c r="AG246" s="155"/>
      <c r="AH246" s="147" t="s">
        <v>26</v>
      </c>
      <c r="AI246" s="151" t="s">
        <v>76</v>
      </c>
      <c r="AJ246" s="146"/>
      <c r="AK246" s="146" t="s">
        <v>292</v>
      </c>
      <c r="AL246" s="146" t="s">
        <v>292</v>
      </c>
      <c r="AM246" s="143"/>
      <c r="AN246" s="143"/>
      <c r="AO246" s="143"/>
      <c r="AP246" s="152"/>
      <c r="AQ246" s="153"/>
      <c r="AR246" s="153"/>
      <c r="AS246" s="153"/>
      <c r="AT246" s="153"/>
      <c r="AU246" s="154"/>
      <c r="AV246" s="153" t="s">
        <v>1028</v>
      </c>
      <c r="AW246" s="153" t="s">
        <v>1028</v>
      </c>
      <c r="AX246" s="153" t="s">
        <v>1028</v>
      </c>
      <c r="AY246" s="153" t="s">
        <v>1028</v>
      </c>
      <c r="AZ246" s="153" t="s">
        <v>1028</v>
      </c>
      <c r="BA246" s="154" t="s">
        <v>114</v>
      </c>
      <c r="BB246" s="152">
        <v>140474</v>
      </c>
      <c r="BC246" s="153">
        <v>140474</v>
      </c>
      <c r="BD246" s="153">
        <v>140474</v>
      </c>
      <c r="BE246" s="157">
        <v>140474</v>
      </c>
      <c r="BF246" s="157">
        <v>140474</v>
      </c>
      <c r="BG246" s="157"/>
      <c r="BH246" s="155"/>
      <c r="BI246" s="152">
        <v>121642</v>
      </c>
      <c r="BJ246" s="153">
        <v>111601</v>
      </c>
      <c r="BK246" s="153" t="s">
        <v>920</v>
      </c>
      <c r="BL246" s="153" t="s">
        <v>920</v>
      </c>
      <c r="BM246" s="153" t="s">
        <v>920</v>
      </c>
      <c r="BN246" s="154">
        <f>SUMIF(BI246:BM246,"&gt;0",BI246:BM246)</f>
        <v>233243</v>
      </c>
      <c r="BO246" s="156"/>
      <c r="BP246" s="148"/>
      <c r="BQ246" s="153"/>
      <c r="BR246" s="153"/>
      <c r="BS246" s="152"/>
      <c r="BT246" s="148"/>
      <c r="BU246" s="148"/>
      <c r="BV246" s="148"/>
      <c r="BW246" s="148"/>
      <c r="BX246" s="154">
        <f>SUM(BS246:BW246)</f>
        <v>0</v>
      </c>
      <c r="BY246" s="143"/>
      <c r="BZ246" s="143"/>
      <c r="CA246" s="143"/>
      <c r="CB246" s="143"/>
      <c r="CC246" s="143"/>
      <c r="CD246" s="259"/>
    </row>
    <row r="247" spans="1:82" ht="14.5">
      <c r="A247" s="143" t="s">
        <v>537</v>
      </c>
      <c r="B247" s="143"/>
      <c r="C247" s="144" t="s">
        <v>614</v>
      </c>
      <c r="D247" s="159" t="s">
        <v>1055</v>
      </c>
      <c r="E247" s="145" t="s">
        <v>615</v>
      </c>
      <c r="F247" s="143" t="str">
        <f>SUBSTITUTE(E247," ","")</f>
        <v>80007550923</v>
      </c>
      <c r="G247" s="143" t="s">
        <v>1865</v>
      </c>
      <c r="H247" s="143" t="s">
        <v>53</v>
      </c>
      <c r="I247" s="143">
        <v>4455</v>
      </c>
      <c r="J247" s="143">
        <v>-26.455621000000001</v>
      </c>
      <c r="K247" s="143">
        <v>149.02465599999999</v>
      </c>
      <c r="L247" s="173" t="s">
        <v>292</v>
      </c>
      <c r="M247" s="173" t="s">
        <v>292</v>
      </c>
      <c r="N247" s="173" t="s">
        <v>292</v>
      </c>
      <c r="O247" s="143"/>
      <c r="P247" s="143"/>
      <c r="Q247" s="143" t="s">
        <v>121</v>
      </c>
      <c r="R247" s="143" t="s">
        <v>58</v>
      </c>
      <c r="S247" s="147"/>
      <c r="T247" s="143"/>
      <c r="U247" s="143"/>
      <c r="V247" s="143"/>
      <c r="W247" s="143"/>
      <c r="X247" s="143"/>
      <c r="Y247" s="143"/>
      <c r="Z247" s="143"/>
      <c r="AA247" s="143"/>
      <c r="AB247" s="143"/>
      <c r="AC247" s="143"/>
      <c r="AD247" s="153"/>
      <c r="AE247" s="153"/>
      <c r="AF247" s="143"/>
      <c r="AG247" s="155"/>
      <c r="AH247" s="147" t="s">
        <v>26</v>
      </c>
      <c r="AI247" s="151" t="s">
        <v>76</v>
      </c>
      <c r="AJ247" s="146"/>
      <c r="AK247" s="146" t="s">
        <v>292</v>
      </c>
      <c r="AL247" s="146" t="s">
        <v>292</v>
      </c>
      <c r="AM247" s="143"/>
      <c r="AN247" s="143"/>
      <c r="AO247" s="143"/>
      <c r="AP247" s="152"/>
      <c r="AQ247" s="153"/>
      <c r="AR247" s="153"/>
      <c r="AS247" s="153"/>
      <c r="AT247" s="153"/>
      <c r="AU247" s="154"/>
      <c r="AV247" s="153" t="s">
        <v>59</v>
      </c>
      <c r="AW247" s="153" t="s">
        <v>59</v>
      </c>
      <c r="AX247" s="153" t="s">
        <v>59</v>
      </c>
      <c r="AY247" s="153" t="s">
        <v>59</v>
      </c>
      <c r="AZ247" s="153" t="s">
        <v>98</v>
      </c>
      <c r="BA247" s="154" t="s">
        <v>98</v>
      </c>
      <c r="BB247" s="152">
        <v>149158</v>
      </c>
      <c r="BC247" s="153">
        <v>149158</v>
      </c>
      <c r="BD247" s="153">
        <v>149158</v>
      </c>
      <c r="BE247" s="153">
        <v>149158</v>
      </c>
      <c r="BF247" s="157">
        <v>224036</v>
      </c>
      <c r="BG247" s="157"/>
      <c r="BH247" s="155"/>
      <c r="BI247" s="152">
        <v>121157</v>
      </c>
      <c r="BJ247" s="153" t="s">
        <v>920</v>
      </c>
      <c r="BK247" s="153" t="s">
        <v>920</v>
      </c>
      <c r="BL247" s="153" t="s">
        <v>920</v>
      </c>
      <c r="BM247" s="153">
        <v>103696</v>
      </c>
      <c r="BN247" s="154">
        <f>SUMIF(BI247:BM247,"&gt;0",BI247:BM247)</f>
        <v>224853</v>
      </c>
      <c r="BO247" s="156"/>
      <c r="BP247" s="148"/>
      <c r="BQ247" s="153"/>
      <c r="BR247" s="153"/>
      <c r="BS247" s="152"/>
      <c r="BT247" s="148"/>
      <c r="BU247" s="148"/>
      <c r="BV247" s="148"/>
      <c r="BW247" s="148"/>
      <c r="BX247" s="154">
        <f>SUM(BS247:BW247)</f>
        <v>0</v>
      </c>
      <c r="BY247" s="143"/>
      <c r="BZ247" s="143"/>
      <c r="CA247" s="143"/>
      <c r="CB247" s="143"/>
      <c r="CC247" s="143"/>
      <c r="CD247" s="143"/>
    </row>
    <row r="248" spans="1:82" ht="14.5">
      <c r="A248" s="143" t="s">
        <v>301</v>
      </c>
      <c r="B248" s="143" t="s">
        <v>1054</v>
      </c>
      <c r="C248" s="144" t="s">
        <v>614</v>
      </c>
      <c r="D248" s="144" t="s">
        <v>1055</v>
      </c>
      <c r="E248" s="145" t="s">
        <v>615</v>
      </c>
      <c r="F248" s="143" t="str">
        <f>SUBSTITUTE(E248," ","")</f>
        <v>80007550923</v>
      </c>
      <c r="G248" s="143" t="s">
        <v>1056</v>
      </c>
      <c r="H248" s="143" t="s">
        <v>53</v>
      </c>
      <c r="I248" s="143">
        <v>4454</v>
      </c>
      <c r="J248" s="143">
        <v>-25.34652273</v>
      </c>
      <c r="K248" s="143">
        <v>148.88479810999999</v>
      </c>
      <c r="L248" s="143" t="s">
        <v>292</v>
      </c>
      <c r="M248" s="143" t="s">
        <v>292</v>
      </c>
      <c r="N248" s="143" t="s">
        <v>292</v>
      </c>
      <c r="O248" s="143"/>
      <c r="P248" s="143"/>
      <c r="Q248" s="143" t="s">
        <v>121</v>
      </c>
      <c r="R248" s="143" t="s">
        <v>58</v>
      </c>
      <c r="S248" s="147"/>
      <c r="T248" s="143"/>
      <c r="U248" s="143"/>
      <c r="V248" s="143"/>
      <c r="W248" s="143"/>
      <c r="X248" s="143"/>
      <c r="Y248" s="143"/>
      <c r="Z248" s="143"/>
      <c r="AA248" s="143"/>
      <c r="AB248" s="143"/>
      <c r="AC248" s="143"/>
      <c r="AD248" s="153"/>
      <c r="AE248" s="153"/>
      <c r="AF248" s="143"/>
      <c r="AG248" s="155"/>
      <c r="AH248" s="147" t="s">
        <v>26</v>
      </c>
      <c r="AI248" s="151" t="s">
        <v>76</v>
      </c>
      <c r="AJ248" s="146"/>
      <c r="AK248" s="146" t="s">
        <v>292</v>
      </c>
      <c r="AL248" s="143" t="s">
        <v>43</v>
      </c>
      <c r="AM248" s="143"/>
      <c r="AN248" s="143"/>
      <c r="AO248" s="143"/>
      <c r="AP248" s="152"/>
      <c r="AQ248" s="153"/>
      <c r="AR248" s="153"/>
      <c r="AS248" s="153"/>
      <c r="AT248" s="153"/>
      <c r="AU248" s="154"/>
      <c r="AV248" s="153" t="s">
        <v>114</v>
      </c>
      <c r="AW248" s="153" t="s">
        <v>114</v>
      </c>
      <c r="AX248" s="153" t="s">
        <v>114</v>
      </c>
      <c r="AY248" s="153" t="s">
        <v>114</v>
      </c>
      <c r="AZ248" s="153" t="s">
        <v>73</v>
      </c>
      <c r="BA248" s="154" t="s">
        <v>73</v>
      </c>
      <c r="BB248" s="152" t="s">
        <v>114</v>
      </c>
      <c r="BC248" s="153" t="s">
        <v>114</v>
      </c>
      <c r="BD248" s="153" t="s">
        <v>114</v>
      </c>
      <c r="BE248" s="153" t="s">
        <v>114</v>
      </c>
      <c r="BF248" s="157">
        <v>121354</v>
      </c>
      <c r="BG248" s="157"/>
      <c r="BH248" s="155" t="s">
        <v>1057</v>
      </c>
      <c r="BI248" s="152" t="s">
        <v>920</v>
      </c>
      <c r="BJ248" s="153" t="s">
        <v>920</v>
      </c>
      <c r="BK248" s="153" t="s">
        <v>920</v>
      </c>
      <c r="BL248" s="153" t="s">
        <v>920</v>
      </c>
      <c r="BM248" s="153" t="s">
        <v>920</v>
      </c>
      <c r="BN248" s="154">
        <f>SUMIF(BI248:BM248,"&gt;0",BI248:BM248)</f>
        <v>0</v>
      </c>
      <c r="BO248" s="156"/>
      <c r="BP248" s="148"/>
      <c r="BQ248" s="153"/>
      <c r="BR248" s="153"/>
      <c r="BS248" s="152"/>
      <c r="BT248" s="148"/>
      <c r="BU248" s="148"/>
      <c r="BV248" s="148"/>
      <c r="BW248" s="148"/>
      <c r="BX248" s="154">
        <f>SUM(BS248:BW248)</f>
        <v>0</v>
      </c>
      <c r="BY248" s="143"/>
      <c r="BZ248" s="143"/>
      <c r="CA248" s="143"/>
      <c r="CB248" s="143"/>
      <c r="CC248" s="143"/>
      <c r="CD248" s="259"/>
    </row>
    <row r="249" spans="1:82" ht="14.5">
      <c r="A249" s="143" t="s">
        <v>452</v>
      </c>
      <c r="B249" s="143" t="s">
        <v>1562</v>
      </c>
      <c r="C249" s="144" t="s">
        <v>614</v>
      </c>
      <c r="D249" s="161" t="s">
        <v>1055</v>
      </c>
      <c r="E249" s="145" t="s">
        <v>615</v>
      </c>
      <c r="F249" s="143" t="str">
        <f>SUBSTITUTE(E249," ","")</f>
        <v>80007550923</v>
      </c>
      <c r="G249" s="143" t="s">
        <v>107</v>
      </c>
      <c r="H249" s="143" t="s">
        <v>60</v>
      </c>
      <c r="I249" s="143">
        <v>5731</v>
      </c>
      <c r="J249" s="143">
        <v>-28.198511</v>
      </c>
      <c r="K249" s="143">
        <v>140.18654000000001</v>
      </c>
      <c r="L249" s="143" t="s">
        <v>292</v>
      </c>
      <c r="M249" s="143" t="s">
        <v>292</v>
      </c>
      <c r="N249" s="143" t="s">
        <v>292</v>
      </c>
      <c r="O249" s="143"/>
      <c r="P249" s="143"/>
      <c r="Q249" s="143" t="s">
        <v>121</v>
      </c>
      <c r="R249" s="143" t="s">
        <v>58</v>
      </c>
      <c r="S249" s="147" t="s">
        <v>612</v>
      </c>
      <c r="T249" s="143">
        <v>1</v>
      </c>
      <c r="U249" s="143" t="s">
        <v>1563</v>
      </c>
      <c r="V249" s="143" t="s">
        <v>1564</v>
      </c>
      <c r="W249" s="143" t="s">
        <v>1124</v>
      </c>
      <c r="X249" s="143" t="s">
        <v>1371</v>
      </c>
      <c r="Y249" s="143" t="s">
        <v>1565</v>
      </c>
      <c r="Z249" s="143" t="s">
        <v>1566</v>
      </c>
      <c r="AA249" s="143" t="s">
        <v>1567</v>
      </c>
      <c r="AB249" s="153">
        <v>0</v>
      </c>
      <c r="AC249" s="153" t="s">
        <v>1044</v>
      </c>
      <c r="AD249" s="153"/>
      <c r="AE249" s="153"/>
      <c r="AF249" s="143" t="s">
        <v>1045</v>
      </c>
      <c r="AG249" s="155"/>
      <c r="AH249" s="147" t="s">
        <v>26</v>
      </c>
      <c r="AI249" s="151" t="s">
        <v>76</v>
      </c>
      <c r="AJ249" s="146"/>
      <c r="AK249" s="146" t="s">
        <v>292</v>
      </c>
      <c r="AL249" s="146" t="s">
        <v>292</v>
      </c>
      <c r="AM249" s="143"/>
      <c r="AN249" s="143"/>
      <c r="AO249" s="143"/>
      <c r="AP249" s="152"/>
      <c r="AQ249" s="153"/>
      <c r="AR249" s="153"/>
      <c r="AS249" s="153"/>
      <c r="AT249" s="153"/>
      <c r="AU249" s="154"/>
      <c r="AV249" s="153" t="s">
        <v>106</v>
      </c>
      <c r="AW249" s="153" t="s">
        <v>106</v>
      </c>
      <c r="AX249" s="153" t="s">
        <v>106</v>
      </c>
      <c r="AY249" s="153" t="s">
        <v>106</v>
      </c>
      <c r="AZ249" s="153" t="s">
        <v>106</v>
      </c>
      <c r="BA249" s="154" t="s">
        <v>114</v>
      </c>
      <c r="BB249" s="152">
        <v>105869</v>
      </c>
      <c r="BC249" s="153">
        <v>105869</v>
      </c>
      <c r="BD249" s="153">
        <v>105869</v>
      </c>
      <c r="BE249" s="153">
        <v>105869</v>
      </c>
      <c r="BF249" s="153">
        <v>105869</v>
      </c>
      <c r="BG249" s="157"/>
      <c r="BH249" s="155"/>
      <c r="BI249" s="152" t="s">
        <v>920</v>
      </c>
      <c r="BJ249" s="153" t="s">
        <v>920</v>
      </c>
      <c r="BK249" s="153" t="s">
        <v>920</v>
      </c>
      <c r="BL249" s="153" t="s">
        <v>920</v>
      </c>
      <c r="BM249" s="153" t="s">
        <v>920</v>
      </c>
      <c r="BN249" s="154">
        <f>SUMIF(BI249:BM249,"&gt;0",BI249:BM249)</f>
        <v>0</v>
      </c>
      <c r="BO249" s="156"/>
      <c r="BP249" s="148"/>
      <c r="BQ249" s="153"/>
      <c r="BR249" s="153"/>
      <c r="BS249" s="152"/>
      <c r="BT249" s="148"/>
      <c r="BU249" s="148"/>
      <c r="BV249" s="148"/>
      <c r="BW249" s="148"/>
      <c r="BX249" s="154">
        <f>SUM(BS249:BW249)</f>
        <v>0</v>
      </c>
      <c r="BY249" s="143"/>
      <c r="BZ249" s="143"/>
      <c r="CA249" s="143"/>
      <c r="CB249" s="143"/>
      <c r="CC249" s="143"/>
      <c r="CD249" s="143"/>
    </row>
    <row r="250" spans="1:82" ht="14.5">
      <c r="A250" s="143" t="s">
        <v>394</v>
      </c>
      <c r="B250" s="143"/>
      <c r="C250" s="144"/>
      <c r="D250" s="161" t="s">
        <v>1358</v>
      </c>
      <c r="E250" s="145" t="s">
        <v>615</v>
      </c>
      <c r="F250" s="143" t="str">
        <f>SUBSTITUTE(E250," ","")</f>
        <v>80007550923</v>
      </c>
      <c r="G250" s="143" t="s">
        <v>107</v>
      </c>
      <c r="H250" s="143" t="s">
        <v>60</v>
      </c>
      <c r="I250" s="143">
        <v>5731</v>
      </c>
      <c r="J250" s="143">
        <v>-27.956845999999999</v>
      </c>
      <c r="K250" s="143">
        <v>140.03487200000001</v>
      </c>
      <c r="L250" s="143" t="s">
        <v>292</v>
      </c>
      <c r="M250" s="143" t="s">
        <v>292</v>
      </c>
      <c r="N250" s="143" t="s">
        <v>292</v>
      </c>
      <c r="O250" s="143"/>
      <c r="P250" s="143"/>
      <c r="Q250" s="143" t="s">
        <v>121</v>
      </c>
      <c r="R250" s="143" t="s">
        <v>58</v>
      </c>
      <c r="S250" s="147"/>
      <c r="T250" s="143"/>
      <c r="U250" s="143"/>
      <c r="V250" s="143"/>
      <c r="W250" s="143"/>
      <c r="X250" s="143"/>
      <c r="Y250" s="143"/>
      <c r="Z250" s="143"/>
      <c r="AA250" s="143"/>
      <c r="AB250" s="143"/>
      <c r="AC250" s="143"/>
      <c r="AD250" s="153"/>
      <c r="AE250" s="153"/>
      <c r="AF250" s="143"/>
      <c r="AG250" s="155"/>
      <c r="AH250" s="147" t="s">
        <v>26</v>
      </c>
      <c r="AI250" s="151" t="s">
        <v>76</v>
      </c>
      <c r="AJ250" s="146"/>
      <c r="AK250" s="146" t="s">
        <v>292</v>
      </c>
      <c r="AL250" s="146" t="s">
        <v>292</v>
      </c>
      <c r="AM250" s="143"/>
      <c r="AN250" s="143"/>
      <c r="AO250" s="143"/>
      <c r="AP250" s="152"/>
      <c r="AQ250" s="153"/>
      <c r="AR250" s="153"/>
      <c r="AS250" s="153"/>
      <c r="AT250" s="153"/>
      <c r="AU250" s="154"/>
      <c r="AV250" s="153" t="s">
        <v>106</v>
      </c>
      <c r="AW250" s="153" t="s">
        <v>106</v>
      </c>
      <c r="AX250" s="153" t="s">
        <v>106</v>
      </c>
      <c r="AY250" s="153" t="s">
        <v>106</v>
      </c>
      <c r="AZ250" s="153" t="s">
        <v>106</v>
      </c>
      <c r="BA250" s="154" t="s">
        <v>114</v>
      </c>
      <c r="BB250" s="152">
        <v>128998</v>
      </c>
      <c r="BC250" s="153">
        <v>128998</v>
      </c>
      <c r="BD250" s="153">
        <v>128998</v>
      </c>
      <c r="BE250" s="157">
        <v>128998</v>
      </c>
      <c r="BF250" s="157">
        <v>128998</v>
      </c>
      <c r="BG250" s="157"/>
      <c r="BH250" s="155"/>
      <c r="BI250" s="152" t="s">
        <v>920</v>
      </c>
      <c r="BJ250" s="153" t="s">
        <v>920</v>
      </c>
      <c r="BK250" s="153" t="s">
        <v>920</v>
      </c>
      <c r="BL250" s="153" t="s">
        <v>920</v>
      </c>
      <c r="BM250" s="153" t="s">
        <v>920</v>
      </c>
      <c r="BN250" s="154">
        <f>SUMIF(BI250:BM250,"&gt;0",BI250:BM250)</f>
        <v>0</v>
      </c>
      <c r="BO250" s="156"/>
      <c r="BP250" s="148"/>
      <c r="BQ250" s="153"/>
      <c r="BR250" s="153"/>
      <c r="BS250" s="152"/>
      <c r="BT250" s="148"/>
      <c r="BU250" s="148"/>
      <c r="BV250" s="148"/>
      <c r="BW250" s="148"/>
      <c r="BX250" s="154">
        <f>SUM(BS250:BW250)</f>
        <v>0</v>
      </c>
      <c r="BY250" s="143"/>
      <c r="BZ250" s="143"/>
      <c r="CA250" s="143"/>
      <c r="CB250" s="143"/>
      <c r="CC250" s="143"/>
      <c r="CD250" s="143"/>
    </row>
    <row r="251" spans="1:82" ht="14.5">
      <c r="A251" s="143" t="s">
        <v>358</v>
      </c>
      <c r="B251" s="143"/>
      <c r="C251" s="144" t="s">
        <v>614</v>
      </c>
      <c r="D251" s="161" t="s">
        <v>1239</v>
      </c>
      <c r="E251" s="145" t="s">
        <v>615</v>
      </c>
      <c r="F251" s="143" t="str">
        <f>SUBSTITUTE(E251," ","")</f>
        <v>80007550923</v>
      </c>
      <c r="G251" s="143" t="s">
        <v>1032</v>
      </c>
      <c r="H251" s="143" t="s">
        <v>53</v>
      </c>
      <c r="I251" s="143">
        <v>4680</v>
      </c>
      <c r="J251" s="143">
        <v>-23.781718999999999</v>
      </c>
      <c r="K251" s="143">
        <v>151.21319500000001</v>
      </c>
      <c r="L251" s="143">
        <v>2015</v>
      </c>
      <c r="M251" s="143">
        <v>7</v>
      </c>
      <c r="N251" s="143">
        <v>0</v>
      </c>
      <c r="O251" s="143"/>
      <c r="P251" s="143"/>
      <c r="Q251" s="143" t="s">
        <v>121</v>
      </c>
      <c r="R251" s="143" t="s">
        <v>58</v>
      </c>
      <c r="S251" s="147"/>
      <c r="T251" s="143"/>
      <c r="U251" s="143"/>
      <c r="V251" s="143"/>
      <c r="W251" s="143"/>
      <c r="X251" s="143"/>
      <c r="Y251" s="143"/>
      <c r="Z251" s="143"/>
      <c r="AA251" s="143"/>
      <c r="AB251" s="143"/>
      <c r="AC251" s="143"/>
      <c r="AD251" s="153"/>
      <c r="AE251" s="153"/>
      <c r="AF251" s="143"/>
      <c r="AG251" s="155"/>
      <c r="AH251" s="147" t="s">
        <v>26</v>
      </c>
      <c r="AI251" s="151" t="s">
        <v>76</v>
      </c>
      <c r="AJ251" s="146"/>
      <c r="AK251" s="146" t="s">
        <v>292</v>
      </c>
      <c r="AL251" s="146" t="s">
        <v>292</v>
      </c>
      <c r="AM251" s="143"/>
      <c r="AN251" s="143"/>
      <c r="AO251" s="143"/>
      <c r="AP251" s="152"/>
      <c r="AQ251" s="153"/>
      <c r="AR251" s="153"/>
      <c r="AS251" s="153"/>
      <c r="AT251" s="153"/>
      <c r="AU251" s="154"/>
      <c r="AV251" s="153" t="s">
        <v>59</v>
      </c>
      <c r="AW251" s="153" t="s">
        <v>59</v>
      </c>
      <c r="AX251" s="153" t="s">
        <v>59</v>
      </c>
      <c r="AY251" s="153" t="s">
        <v>73</v>
      </c>
      <c r="AZ251" s="153" t="s">
        <v>73</v>
      </c>
      <c r="BA251" s="154" t="s">
        <v>73</v>
      </c>
      <c r="BB251" s="152">
        <v>1682408</v>
      </c>
      <c r="BC251" s="153">
        <v>1682408</v>
      </c>
      <c r="BD251" s="153">
        <v>1682408</v>
      </c>
      <c r="BE251" s="157">
        <v>1888177</v>
      </c>
      <c r="BF251" s="157">
        <v>1888177</v>
      </c>
      <c r="BG251" s="157"/>
      <c r="BH251" s="155"/>
      <c r="BI251" s="152">
        <v>1577749</v>
      </c>
      <c r="BJ251" s="153">
        <v>1567036</v>
      </c>
      <c r="BK251" s="153">
        <v>1485274</v>
      </c>
      <c r="BL251" s="153">
        <v>1593684</v>
      </c>
      <c r="BM251" s="153">
        <v>1730328</v>
      </c>
      <c r="BN251" s="154">
        <f>SUMIF(BI251:BM251,"&gt;0",BI251:BM251)</f>
        <v>7954071</v>
      </c>
      <c r="BO251" s="156">
        <v>1900000</v>
      </c>
      <c r="BP251" s="148">
        <v>1900000</v>
      </c>
      <c r="BQ251" s="153">
        <v>1900000</v>
      </c>
      <c r="BR251" s="153">
        <v>1900000</v>
      </c>
      <c r="BS251" s="152"/>
      <c r="BT251" s="148"/>
      <c r="BU251" s="148"/>
      <c r="BV251" s="148"/>
      <c r="BW251" s="148"/>
      <c r="BX251" s="154">
        <f>SUM(BS251:BW251)</f>
        <v>0</v>
      </c>
      <c r="BY251" s="143"/>
      <c r="BZ251" s="143"/>
      <c r="CA251" s="143"/>
      <c r="CB251" s="143"/>
      <c r="CC251" s="143"/>
      <c r="CD251" s="259"/>
    </row>
    <row r="252" spans="1:82" ht="14.5">
      <c r="A252" s="143" t="s">
        <v>521</v>
      </c>
      <c r="B252" s="143" t="s">
        <v>1808</v>
      </c>
      <c r="C252" s="144" t="s">
        <v>1809</v>
      </c>
      <c r="D252" s="161" t="s">
        <v>1784</v>
      </c>
      <c r="E252" s="145" t="s">
        <v>1810</v>
      </c>
      <c r="F252" s="143" t="str">
        <f>SUBSTITUTE(E252," ","")</f>
        <v>19138872385</v>
      </c>
      <c r="G252" s="143" t="s">
        <v>1032</v>
      </c>
      <c r="H252" s="143" t="s">
        <v>53</v>
      </c>
      <c r="I252" s="143">
        <v>4680</v>
      </c>
      <c r="J252" s="143">
        <v>-23.769359999999999</v>
      </c>
      <c r="K252" s="143">
        <v>151.19882000000001</v>
      </c>
      <c r="L252" s="143" t="s">
        <v>292</v>
      </c>
      <c r="M252" s="143" t="s">
        <v>292</v>
      </c>
      <c r="N252" s="143" t="s">
        <v>292</v>
      </c>
      <c r="O252" s="143"/>
      <c r="P252" s="143"/>
      <c r="Q252" s="143" t="s">
        <v>121</v>
      </c>
      <c r="R252" s="143" t="s">
        <v>58</v>
      </c>
      <c r="S252" s="147"/>
      <c r="T252" s="143"/>
      <c r="U252" s="143"/>
      <c r="V252" s="143"/>
      <c r="W252" s="143"/>
      <c r="X252" s="143"/>
      <c r="Y252" s="143"/>
      <c r="Z252" s="143"/>
      <c r="AA252" s="143"/>
      <c r="AB252" s="143"/>
      <c r="AC252" s="143"/>
      <c r="AD252" s="153"/>
      <c r="AE252" s="153"/>
      <c r="AF252" s="143"/>
      <c r="AG252" s="155"/>
      <c r="AH252" s="147" t="s">
        <v>26</v>
      </c>
      <c r="AI252" s="151" t="s">
        <v>76</v>
      </c>
      <c r="AJ252" s="146"/>
      <c r="AK252" s="146" t="s">
        <v>292</v>
      </c>
      <c r="AL252" s="146" t="s">
        <v>292</v>
      </c>
      <c r="AM252" s="143"/>
      <c r="AN252" s="143"/>
      <c r="AO252" s="143"/>
      <c r="AP252" s="152"/>
      <c r="AQ252" s="153"/>
      <c r="AR252" s="153"/>
      <c r="AS252" s="153"/>
      <c r="AT252" s="153"/>
      <c r="AU252" s="154"/>
      <c r="AV252" s="153" t="s">
        <v>59</v>
      </c>
      <c r="AW252" s="153" t="s">
        <v>59</v>
      </c>
      <c r="AX252" s="153" t="s">
        <v>59</v>
      </c>
      <c r="AY252" s="153" t="s">
        <v>59</v>
      </c>
      <c r="AZ252" s="153" t="s">
        <v>59</v>
      </c>
      <c r="BA252" s="154" t="s">
        <v>114</v>
      </c>
      <c r="BB252" s="152">
        <v>2239642</v>
      </c>
      <c r="BC252" s="153">
        <v>2239642</v>
      </c>
      <c r="BD252" s="153">
        <v>2239642</v>
      </c>
      <c r="BE252" s="157">
        <v>2239642</v>
      </c>
      <c r="BF252" s="157">
        <v>2244528</v>
      </c>
      <c r="BG252" s="157"/>
      <c r="BH252" s="155"/>
      <c r="BI252" s="152">
        <v>1776145</v>
      </c>
      <c r="BJ252" s="153">
        <v>1572870</v>
      </c>
      <c r="BK252" s="153">
        <v>1786152</v>
      </c>
      <c r="BL252" s="153">
        <v>1793519</v>
      </c>
      <c r="BM252" s="153">
        <v>1786718</v>
      </c>
      <c r="BN252" s="154">
        <f>SUMIF(BI252:BM252,"&gt;0",BI252:BM252)</f>
        <v>8715404</v>
      </c>
      <c r="BO252" s="156">
        <v>2856914</v>
      </c>
      <c r="BP252" s="148">
        <v>2856914</v>
      </c>
      <c r="BQ252" s="153">
        <v>2856914</v>
      </c>
      <c r="BR252" s="153">
        <v>2856914</v>
      </c>
      <c r="BS252" s="152"/>
      <c r="BT252" s="148"/>
      <c r="BU252" s="148"/>
      <c r="BV252" s="148"/>
      <c r="BW252" s="148"/>
      <c r="BX252" s="154">
        <f>SUM(BS252:BW252)</f>
        <v>0</v>
      </c>
      <c r="BY252" s="143"/>
      <c r="BZ252" s="143"/>
      <c r="CA252" s="143"/>
      <c r="CB252" s="143"/>
      <c r="CC252" s="143"/>
      <c r="CD252" s="259"/>
    </row>
    <row r="253" spans="1:82" ht="14.5">
      <c r="A253" s="143" t="s">
        <v>516</v>
      </c>
      <c r="B253" s="143" t="s">
        <v>1017</v>
      </c>
      <c r="C253" s="144" t="s">
        <v>789</v>
      </c>
      <c r="D253" s="144" t="s">
        <v>1784</v>
      </c>
      <c r="E253" s="145" t="s">
        <v>790</v>
      </c>
      <c r="F253" s="143" t="str">
        <f>SUBSTITUTE(E253," ","")</f>
        <v>11089642553</v>
      </c>
      <c r="G253" s="143" t="s">
        <v>292</v>
      </c>
      <c r="H253" s="143" t="s">
        <v>53</v>
      </c>
      <c r="I253" s="143" t="s">
        <v>292</v>
      </c>
      <c r="J253" s="143" t="s">
        <v>292</v>
      </c>
      <c r="K253" s="143" t="s">
        <v>292</v>
      </c>
      <c r="L253" s="143">
        <v>2006</v>
      </c>
      <c r="M253" s="143">
        <v>16</v>
      </c>
      <c r="N253" s="143">
        <v>0</v>
      </c>
      <c r="O253" s="143"/>
      <c r="P253" s="143"/>
      <c r="Q253" s="143" t="s">
        <v>121</v>
      </c>
      <c r="R253" s="143" t="s">
        <v>58</v>
      </c>
      <c r="S253" s="147"/>
      <c r="T253" s="143"/>
      <c r="U253" s="143"/>
      <c r="V253" s="143"/>
      <c r="W253" s="143"/>
      <c r="X253" s="143"/>
      <c r="Y253" s="143"/>
      <c r="Z253" s="143"/>
      <c r="AA253" s="143"/>
      <c r="AB253" s="143"/>
      <c r="AC253" s="143"/>
      <c r="AD253" s="153"/>
      <c r="AE253" s="153"/>
      <c r="AF253" s="143"/>
      <c r="AG253" s="155"/>
      <c r="AH253" s="147" t="s">
        <v>26</v>
      </c>
      <c r="AI253" s="151" t="s">
        <v>76</v>
      </c>
      <c r="AJ253" s="146"/>
      <c r="AK253" s="146" t="s">
        <v>292</v>
      </c>
      <c r="AL253" s="146" t="s">
        <v>292</v>
      </c>
      <c r="AM253" s="143"/>
      <c r="AN253" s="143"/>
      <c r="AO253" s="143"/>
      <c r="AP253" s="152"/>
      <c r="AQ253" s="153"/>
      <c r="AR253" s="153"/>
      <c r="AS253" s="153"/>
      <c r="AT253" s="153"/>
      <c r="AU253" s="154"/>
      <c r="AV253" s="153" t="s">
        <v>41</v>
      </c>
      <c r="AW253" s="153" t="s">
        <v>41</v>
      </c>
      <c r="AX253" s="153" t="s">
        <v>41</v>
      </c>
      <c r="AY253" s="153" t="s">
        <v>41</v>
      </c>
      <c r="AZ253" s="153" t="s">
        <v>98</v>
      </c>
      <c r="BA253" s="154" t="s">
        <v>98</v>
      </c>
      <c r="BB253" s="152">
        <v>1369138</v>
      </c>
      <c r="BC253" s="153">
        <v>1369138</v>
      </c>
      <c r="BD253" s="153">
        <v>1369138</v>
      </c>
      <c r="BE253" s="157">
        <v>1369138</v>
      </c>
      <c r="BF253" s="157">
        <v>1127169</v>
      </c>
      <c r="BG253" s="157"/>
      <c r="BH253" s="155"/>
      <c r="BI253" s="152">
        <v>1012907</v>
      </c>
      <c r="BJ253" s="153">
        <v>1021832</v>
      </c>
      <c r="BK253" s="153">
        <v>877212</v>
      </c>
      <c r="BL253" s="153">
        <v>846635</v>
      </c>
      <c r="BM253" s="153">
        <v>877296</v>
      </c>
      <c r="BN253" s="154">
        <f>SUMIF(BI253:BM253,"&gt;0",BI253:BM253)</f>
        <v>4635882</v>
      </c>
      <c r="BO253" s="156">
        <v>1600604</v>
      </c>
      <c r="BP253" s="148">
        <v>1600604</v>
      </c>
      <c r="BQ253" s="153">
        <v>1600604</v>
      </c>
      <c r="BR253" s="153">
        <v>1600604</v>
      </c>
      <c r="BS253" s="152"/>
      <c r="BT253" s="148"/>
      <c r="BU253" s="148"/>
      <c r="BV253" s="148"/>
      <c r="BW253" s="148"/>
      <c r="BX253" s="154">
        <f>SUM(BS253:BW253)</f>
        <v>0</v>
      </c>
      <c r="BY253" s="143"/>
      <c r="BZ253" s="143"/>
      <c r="CA253" s="143"/>
      <c r="CB253" s="143"/>
      <c r="CC253" s="143"/>
      <c r="CD253" s="259"/>
    </row>
    <row r="254" spans="1:82" ht="14.5">
      <c r="A254" s="143" t="s">
        <v>387</v>
      </c>
      <c r="B254" s="143" t="s">
        <v>1342</v>
      </c>
      <c r="C254" s="144" t="s">
        <v>677</v>
      </c>
      <c r="D254" s="144" t="s">
        <v>1343</v>
      </c>
      <c r="E254" s="145" t="s">
        <v>678</v>
      </c>
      <c r="F254" s="143" t="str">
        <f>SUBSTITUTE(E254," ","")</f>
        <v>14009663576</v>
      </c>
      <c r="G254" s="143" t="s">
        <v>1344</v>
      </c>
      <c r="H254" s="143" t="s">
        <v>81</v>
      </c>
      <c r="I254" s="143">
        <v>6725</v>
      </c>
      <c r="J254" s="143">
        <v>-13.783333000000001</v>
      </c>
      <c r="K254" s="143">
        <v>123.316667</v>
      </c>
      <c r="L254" s="143">
        <v>2013</v>
      </c>
      <c r="M254" s="143">
        <v>9</v>
      </c>
      <c r="N254" s="143">
        <v>2038</v>
      </c>
      <c r="O254" s="143"/>
      <c r="P254" s="143"/>
      <c r="Q254" s="143" t="s">
        <v>121</v>
      </c>
      <c r="R254" s="143" t="s">
        <v>58</v>
      </c>
      <c r="S254" s="147"/>
      <c r="T254" s="143"/>
      <c r="U254" s="143"/>
      <c r="V254" s="143"/>
      <c r="W254" s="143"/>
      <c r="X254" s="143"/>
      <c r="Y254" s="143"/>
      <c r="Z254" s="143"/>
      <c r="AA254" s="143"/>
      <c r="AB254" s="143"/>
      <c r="AC254" s="143"/>
      <c r="AD254" s="153"/>
      <c r="AE254" s="153"/>
      <c r="AF254" s="143"/>
      <c r="AG254" s="155"/>
      <c r="AH254" s="147" t="s">
        <v>26</v>
      </c>
      <c r="AI254" s="151" t="s">
        <v>76</v>
      </c>
      <c r="AJ254" s="146"/>
      <c r="AK254" s="146" t="s">
        <v>292</v>
      </c>
      <c r="AL254" s="146" t="s">
        <v>292</v>
      </c>
      <c r="AM254" s="143"/>
      <c r="AN254" s="143"/>
      <c r="AO254" s="143"/>
      <c r="AP254" s="152"/>
      <c r="AQ254" s="153"/>
      <c r="AR254" s="153"/>
      <c r="AS254" s="153"/>
      <c r="AT254" s="153"/>
      <c r="AU254" s="154"/>
      <c r="AV254" s="153" t="s">
        <v>114</v>
      </c>
      <c r="AW254" s="153" t="s">
        <v>59</v>
      </c>
      <c r="AX254" s="153" t="s">
        <v>59</v>
      </c>
      <c r="AY254" s="153" t="s">
        <v>59</v>
      </c>
      <c r="AZ254" s="153" t="s">
        <v>73</v>
      </c>
      <c r="BA254" s="154" t="s">
        <v>73</v>
      </c>
      <c r="BB254" s="152" t="s">
        <v>114</v>
      </c>
      <c r="BC254" s="153">
        <v>2725687</v>
      </c>
      <c r="BD254" s="153">
        <v>2725687</v>
      </c>
      <c r="BE254" s="157">
        <v>2725687</v>
      </c>
      <c r="BF254" s="157">
        <v>2263910</v>
      </c>
      <c r="BG254" s="157"/>
      <c r="BH254" s="155"/>
      <c r="BI254" s="152" t="s">
        <v>920</v>
      </c>
      <c r="BJ254" s="153" t="s">
        <v>920</v>
      </c>
      <c r="BK254" s="153">
        <v>2317273</v>
      </c>
      <c r="BL254" s="153">
        <v>1712983</v>
      </c>
      <c r="BM254" s="153">
        <v>1506548</v>
      </c>
      <c r="BN254" s="154">
        <f>SUMIF(BI254:BM254,"&gt;0",BI254:BM254)</f>
        <v>5536804</v>
      </c>
      <c r="BO254" s="156">
        <v>2298912</v>
      </c>
      <c r="BP254" s="148">
        <v>2298912</v>
      </c>
      <c r="BQ254" s="153">
        <v>2298912</v>
      </c>
      <c r="BR254" s="153">
        <v>2298912</v>
      </c>
      <c r="BS254" s="152"/>
      <c r="BT254" s="148"/>
      <c r="BU254" s="148"/>
      <c r="BV254" s="148"/>
      <c r="BW254" s="148"/>
      <c r="BX254" s="154">
        <f>SUM(BS254:BW254)</f>
        <v>0</v>
      </c>
      <c r="BY254" s="143"/>
      <c r="BZ254" s="143"/>
      <c r="CA254" s="143"/>
      <c r="CB254" s="143"/>
      <c r="CC254" s="143"/>
      <c r="CD254" s="259"/>
    </row>
    <row r="255" spans="1:82" ht="14.5">
      <c r="A255" s="143" t="s">
        <v>420</v>
      </c>
      <c r="B255" s="143" t="s">
        <v>1451</v>
      </c>
      <c r="C255" s="144" t="s">
        <v>1452</v>
      </c>
      <c r="D255" s="144" t="s">
        <v>1453</v>
      </c>
      <c r="E255" s="145" t="s">
        <v>711</v>
      </c>
      <c r="F255" s="143" t="str">
        <f>SUBSTITUTE(E255," ","")</f>
        <v>42009064653</v>
      </c>
      <c r="G255" s="143" t="s">
        <v>1454</v>
      </c>
      <c r="H255" s="143" t="s">
        <v>81</v>
      </c>
      <c r="I255" s="143">
        <v>6233</v>
      </c>
      <c r="J255" s="143">
        <v>-33.218888999999997</v>
      </c>
      <c r="K255" s="143">
        <v>115.752222</v>
      </c>
      <c r="L255" s="143" t="s">
        <v>292</v>
      </c>
      <c r="M255" s="143" t="s">
        <v>292</v>
      </c>
      <c r="N255" s="143" t="s">
        <v>292</v>
      </c>
      <c r="O255" s="143"/>
      <c r="P255" s="143"/>
      <c r="Q255" s="143" t="s">
        <v>176</v>
      </c>
      <c r="R255" s="143" t="s">
        <v>72</v>
      </c>
      <c r="S255" s="147"/>
      <c r="T255" s="143"/>
      <c r="U255" s="143"/>
      <c r="V255" s="143"/>
      <c r="W255" s="143"/>
      <c r="X255" s="143"/>
      <c r="Y255" s="143"/>
      <c r="Z255" s="143"/>
      <c r="AA255" s="143"/>
      <c r="AB255" s="143"/>
      <c r="AC255" s="143"/>
      <c r="AD255" s="153"/>
      <c r="AE255" s="153"/>
      <c r="AF255" s="143"/>
      <c r="AG255" s="155"/>
      <c r="AH255" s="150" t="s">
        <v>37</v>
      </c>
      <c r="AI255" s="151" t="s">
        <v>76</v>
      </c>
      <c r="AJ255" s="151" t="s">
        <v>70</v>
      </c>
      <c r="AK255" s="151" t="s">
        <v>70</v>
      </c>
      <c r="AL255" s="151" t="s">
        <v>118</v>
      </c>
      <c r="AM255" s="151" t="s">
        <v>70</v>
      </c>
      <c r="AN255" s="151" t="s">
        <v>70</v>
      </c>
      <c r="AO255" s="151" t="s">
        <v>70</v>
      </c>
      <c r="AP255" s="152"/>
      <c r="AQ255" s="153"/>
      <c r="AR255" s="153"/>
      <c r="AS255" s="153"/>
      <c r="AT255" s="153"/>
      <c r="AU255" s="154"/>
      <c r="AV255" s="153" t="s">
        <v>41</v>
      </c>
      <c r="AW255" s="153" t="s">
        <v>41</v>
      </c>
      <c r="AX255" s="153" t="s">
        <v>41</v>
      </c>
      <c r="AY255" s="153" t="s">
        <v>41</v>
      </c>
      <c r="AZ255" s="153" t="s">
        <v>98</v>
      </c>
      <c r="BA255" s="154" t="s">
        <v>98</v>
      </c>
      <c r="BB255" s="152">
        <v>103809</v>
      </c>
      <c r="BC255" s="153">
        <v>103809</v>
      </c>
      <c r="BD255" s="153">
        <v>103809</v>
      </c>
      <c r="BE255" s="157">
        <v>103809</v>
      </c>
      <c r="BF255" s="163" t="s">
        <v>1455</v>
      </c>
      <c r="BG255" s="157"/>
      <c r="BH255" s="155"/>
      <c r="BI255" s="152">
        <v>102987</v>
      </c>
      <c r="BJ255" s="153">
        <v>102882</v>
      </c>
      <c r="BK255" s="153">
        <v>105739</v>
      </c>
      <c r="BL255" s="153">
        <v>107847</v>
      </c>
      <c r="BM255" s="153" t="s">
        <v>920</v>
      </c>
      <c r="BN255" s="154">
        <f>SUMIF(BI255:BM255,"&gt;0",BI255:BM255)</f>
        <v>419455</v>
      </c>
      <c r="BO255" s="156"/>
      <c r="BP255" s="148"/>
      <c r="BQ255" s="153"/>
      <c r="BR255" s="153"/>
      <c r="BS255" s="152"/>
      <c r="BT255" s="148"/>
      <c r="BU255" s="148"/>
      <c r="BV255" s="148"/>
      <c r="BW255" s="148"/>
      <c r="BX255" s="154">
        <f>SUM(BS255:BW255)</f>
        <v>0</v>
      </c>
      <c r="BY255" s="143"/>
      <c r="BZ255" s="143"/>
      <c r="CA255" s="143"/>
      <c r="CB255" s="143"/>
      <c r="CC255" s="143"/>
      <c r="CD255" s="143"/>
    </row>
    <row r="256" spans="1:82" ht="14.5">
      <c r="A256" s="143" t="s">
        <v>548</v>
      </c>
      <c r="B256" s="143" t="s">
        <v>1892</v>
      </c>
      <c r="C256" s="144" t="s">
        <v>1893</v>
      </c>
      <c r="D256" s="144" t="s">
        <v>1894</v>
      </c>
      <c r="E256" s="145" t="s">
        <v>1895</v>
      </c>
      <c r="F256" s="143" t="str">
        <f>SUBSTITUTE(E256," ","")</f>
        <v>35108510309</v>
      </c>
      <c r="G256" s="143" t="s">
        <v>1896</v>
      </c>
      <c r="H256" s="143" t="s">
        <v>53</v>
      </c>
      <c r="I256" s="143">
        <v>4722</v>
      </c>
      <c r="J256" s="143">
        <v>-23.912777999999999</v>
      </c>
      <c r="K256" s="143">
        <v>148.06277800000001</v>
      </c>
      <c r="L256" s="143" t="s">
        <v>292</v>
      </c>
      <c r="M256" s="143" t="s">
        <v>292</v>
      </c>
      <c r="N256" s="143" t="s">
        <v>292</v>
      </c>
      <c r="O256" s="143"/>
      <c r="P256" s="143"/>
      <c r="Q256" s="143" t="s">
        <v>29</v>
      </c>
      <c r="R256" s="143" t="s">
        <v>29</v>
      </c>
      <c r="S256" s="147"/>
      <c r="T256" s="143"/>
      <c r="U256" s="143"/>
      <c r="V256" s="143"/>
      <c r="W256" s="143"/>
      <c r="X256" s="143"/>
      <c r="Y256" s="143"/>
      <c r="Z256" s="143"/>
      <c r="AA256" s="143"/>
      <c r="AB256" s="143"/>
      <c r="AC256" s="143"/>
      <c r="AD256" s="153"/>
      <c r="AE256" s="153"/>
      <c r="AF256" s="143"/>
      <c r="AG256" s="155"/>
      <c r="AH256" s="147" t="s">
        <v>26</v>
      </c>
      <c r="AI256" s="146" t="s">
        <v>36</v>
      </c>
      <c r="AJ256" s="146" t="s">
        <v>1111</v>
      </c>
      <c r="AK256" s="146" t="s">
        <v>21</v>
      </c>
      <c r="AL256" s="146" t="s">
        <v>43</v>
      </c>
      <c r="AM256" s="143"/>
      <c r="AN256" s="143"/>
      <c r="AO256" s="143"/>
      <c r="AP256" s="152"/>
      <c r="AQ256" s="153"/>
      <c r="AR256" s="153"/>
      <c r="AS256" s="153"/>
      <c r="AT256" s="153"/>
      <c r="AU256" s="154"/>
      <c r="AV256" s="153" t="s">
        <v>106</v>
      </c>
      <c r="AW256" s="153" t="s">
        <v>106</v>
      </c>
      <c r="AX256" s="153" t="s">
        <v>106</v>
      </c>
      <c r="AY256" s="153" t="s">
        <v>106</v>
      </c>
      <c r="AZ256" s="153" t="s">
        <v>106</v>
      </c>
      <c r="BA256" s="154" t="s">
        <v>114</v>
      </c>
      <c r="BB256" s="152">
        <v>128041</v>
      </c>
      <c r="BC256" s="153">
        <v>128041</v>
      </c>
      <c r="BD256" s="153">
        <v>128041</v>
      </c>
      <c r="BE256" s="153">
        <v>128041</v>
      </c>
      <c r="BF256" s="153">
        <v>128041</v>
      </c>
      <c r="BG256" s="157"/>
      <c r="BH256" s="155"/>
      <c r="BI256" s="152" t="s">
        <v>920</v>
      </c>
      <c r="BJ256" s="153" t="s">
        <v>920</v>
      </c>
      <c r="BK256" s="153" t="s">
        <v>920</v>
      </c>
      <c r="BL256" s="153" t="s">
        <v>920</v>
      </c>
      <c r="BM256" s="153" t="s">
        <v>920</v>
      </c>
      <c r="BN256" s="154">
        <f>SUMIF(BI256:BM256,"&gt;0",BI256:BM256)</f>
        <v>0</v>
      </c>
      <c r="BO256" s="156"/>
      <c r="BP256" s="148"/>
      <c r="BQ256" s="153"/>
      <c r="BR256" s="153"/>
      <c r="BS256" s="156" t="s">
        <v>1096</v>
      </c>
      <c r="BT256" s="148" t="s">
        <v>1096</v>
      </c>
      <c r="BU256" s="148" t="s">
        <v>1096</v>
      </c>
      <c r="BV256" s="148" t="s">
        <v>1096</v>
      </c>
      <c r="BW256" s="148" t="s">
        <v>1096</v>
      </c>
      <c r="BX256" s="154">
        <f>SUM(BS256:BW256)</f>
        <v>0</v>
      </c>
      <c r="BY256" s="143" t="e">
        <f>BI256/BS256</f>
        <v>#VALUE!</v>
      </c>
      <c r="BZ256" s="143" t="e">
        <f>BJ256/BT256</f>
        <v>#VALUE!</v>
      </c>
      <c r="CA256" s="143" t="e">
        <f>BK256/BU256</f>
        <v>#VALUE!</v>
      </c>
      <c r="CB256" s="143" t="e">
        <f>BL256/BV256</f>
        <v>#VALUE!</v>
      </c>
      <c r="CC256" s="143" t="e">
        <f>BM256/BW256</f>
        <v>#VALUE!</v>
      </c>
      <c r="CD256" s="143" t="e">
        <f>AVERAGE(BY256:CC256)</f>
        <v>#VALUE!</v>
      </c>
    </row>
    <row r="257" spans="1:82" ht="14.5">
      <c r="A257" s="143" t="s">
        <v>384</v>
      </c>
      <c r="B257" s="143" t="s">
        <v>1329</v>
      </c>
      <c r="C257" s="144" t="s">
        <v>1330</v>
      </c>
      <c r="D257" s="144" t="s">
        <v>1331</v>
      </c>
      <c r="E257" s="145" t="s">
        <v>1332</v>
      </c>
      <c r="F257" s="143" t="str">
        <f>SUBSTITUTE(E257," ","")</f>
        <v>40105011989</v>
      </c>
      <c r="G257" s="143" t="s">
        <v>292</v>
      </c>
      <c r="H257" s="173" t="s">
        <v>81</v>
      </c>
      <c r="I257" s="143" t="s">
        <v>292</v>
      </c>
      <c r="J257" s="143" t="s">
        <v>292</v>
      </c>
      <c r="K257" s="143" t="s">
        <v>292</v>
      </c>
      <c r="L257" s="143" t="s">
        <v>292</v>
      </c>
      <c r="M257" s="143" t="s">
        <v>292</v>
      </c>
      <c r="N257" s="143" t="s">
        <v>292</v>
      </c>
      <c r="O257" s="143"/>
      <c r="P257" s="143"/>
      <c r="Q257" s="143" t="s">
        <v>121</v>
      </c>
      <c r="R257" s="143" t="s">
        <v>58</v>
      </c>
      <c r="S257" s="147"/>
      <c r="T257" s="143"/>
      <c r="U257" s="143"/>
      <c r="V257" s="143"/>
      <c r="W257" s="143"/>
      <c r="X257" s="143"/>
      <c r="Y257" s="143"/>
      <c r="Z257" s="143"/>
      <c r="AA257" s="143"/>
      <c r="AB257" s="143"/>
      <c r="AC257" s="143"/>
      <c r="AD257" s="153"/>
      <c r="AE257" s="153"/>
      <c r="AF257" s="143"/>
      <c r="AG257" s="155"/>
      <c r="AH257" s="147" t="s">
        <v>26</v>
      </c>
      <c r="AI257" s="151" t="s">
        <v>76</v>
      </c>
      <c r="AJ257" s="146"/>
      <c r="AK257" s="146" t="s">
        <v>292</v>
      </c>
      <c r="AL257" s="146" t="s">
        <v>292</v>
      </c>
      <c r="AM257" s="143"/>
      <c r="AN257" s="143"/>
      <c r="AO257" s="143"/>
      <c r="AP257" s="152"/>
      <c r="AQ257" s="153"/>
      <c r="AR257" s="153"/>
      <c r="AS257" s="153"/>
      <c r="AT257" s="153"/>
      <c r="AU257" s="154"/>
      <c r="AV257" s="153" t="s">
        <v>106</v>
      </c>
      <c r="AW257" s="153" t="s">
        <v>106</v>
      </c>
      <c r="AX257" s="153" t="s">
        <v>106</v>
      </c>
      <c r="AY257" s="153" t="s">
        <v>106</v>
      </c>
      <c r="AZ257" s="153" t="s">
        <v>106</v>
      </c>
      <c r="BA257" s="154" t="s">
        <v>114</v>
      </c>
      <c r="BB257" s="152">
        <v>166612</v>
      </c>
      <c r="BC257" s="153">
        <v>166612</v>
      </c>
      <c r="BD257" s="153">
        <v>166612</v>
      </c>
      <c r="BE257" s="153">
        <v>166612</v>
      </c>
      <c r="BF257" s="153">
        <v>166612</v>
      </c>
      <c r="BG257" s="157"/>
      <c r="BH257" s="155"/>
      <c r="BI257" s="152" t="s">
        <v>920</v>
      </c>
      <c r="BJ257" s="153" t="s">
        <v>920</v>
      </c>
      <c r="BK257" s="153" t="s">
        <v>920</v>
      </c>
      <c r="BL257" s="153" t="s">
        <v>920</v>
      </c>
      <c r="BM257" s="153" t="s">
        <v>920</v>
      </c>
      <c r="BN257" s="154">
        <f>SUMIF(BI257:BM257,"&gt;0",BI257:BM257)</f>
        <v>0</v>
      </c>
      <c r="BO257" s="156"/>
      <c r="BP257" s="148"/>
      <c r="BQ257" s="153"/>
      <c r="BR257" s="153"/>
      <c r="BS257" s="152"/>
      <c r="BT257" s="148"/>
      <c r="BU257" s="148"/>
      <c r="BV257" s="148"/>
      <c r="BW257" s="148"/>
      <c r="BX257" s="154">
        <f>SUM(BS257:BW257)</f>
        <v>0</v>
      </c>
      <c r="BY257" s="143"/>
      <c r="BZ257" s="143"/>
      <c r="CA257" s="143"/>
      <c r="CB257" s="143"/>
      <c r="CC257" s="143"/>
      <c r="CD257" s="259"/>
    </row>
    <row r="258" spans="1:82" ht="14.5">
      <c r="A258" s="143" t="s">
        <v>596</v>
      </c>
      <c r="B258" s="143" t="s">
        <v>2043</v>
      </c>
      <c r="C258" s="144" t="s">
        <v>844</v>
      </c>
      <c r="D258" s="144" t="s">
        <v>1035</v>
      </c>
      <c r="E258" s="145" t="s">
        <v>845</v>
      </c>
      <c r="F258" s="143" t="str">
        <f>SUBSTITUTE(E258," ","")</f>
        <v>58008905155</v>
      </c>
      <c r="G258" s="143" t="s">
        <v>1390</v>
      </c>
      <c r="H258" s="143" t="s">
        <v>81</v>
      </c>
      <c r="I258" s="143">
        <v>6225</v>
      </c>
      <c r="J258" s="143">
        <v>-33.240703000000003</v>
      </c>
      <c r="K258" s="143">
        <v>116.067809</v>
      </c>
      <c r="L258" s="143">
        <v>1984</v>
      </c>
      <c r="M258" s="143">
        <v>38</v>
      </c>
      <c r="N258" s="143">
        <v>0</v>
      </c>
      <c r="O258" s="143"/>
      <c r="P258" s="143"/>
      <c r="Q258" s="143" t="s">
        <v>16</v>
      </c>
      <c r="R258" s="143" t="s">
        <v>17</v>
      </c>
      <c r="S258" s="147"/>
      <c r="T258" s="143"/>
      <c r="U258" s="143"/>
      <c r="V258" s="143"/>
      <c r="W258" s="143"/>
      <c r="X258" s="143"/>
      <c r="Y258" s="143"/>
      <c r="Z258" s="143"/>
      <c r="AA258" s="143"/>
      <c r="AB258" s="143"/>
      <c r="AC258" s="143"/>
      <c r="AD258" s="153"/>
      <c r="AE258" s="153"/>
      <c r="AF258" s="143"/>
      <c r="AG258" s="155"/>
      <c r="AH258" s="150" t="s">
        <v>37</v>
      </c>
      <c r="AI258" s="151" t="s">
        <v>76</v>
      </c>
      <c r="AJ258" s="151" t="s">
        <v>70</v>
      </c>
      <c r="AK258" s="151" t="s">
        <v>70</v>
      </c>
      <c r="AL258" s="151" t="s">
        <v>118</v>
      </c>
      <c r="AM258" s="151" t="s">
        <v>70</v>
      </c>
      <c r="AN258" s="151" t="s">
        <v>70</v>
      </c>
      <c r="AO258" s="151" t="s">
        <v>70</v>
      </c>
      <c r="AP258" s="152"/>
      <c r="AQ258" s="153"/>
      <c r="AR258" s="153"/>
      <c r="AS258" s="153"/>
      <c r="AT258" s="153"/>
      <c r="AU258" s="154"/>
      <c r="AV258" s="153" t="s">
        <v>41</v>
      </c>
      <c r="AW258" s="153" t="s">
        <v>41</v>
      </c>
      <c r="AX258" s="153" t="s">
        <v>41</v>
      </c>
      <c r="AY258" s="153" t="s">
        <v>73</v>
      </c>
      <c r="AZ258" s="153" t="s">
        <v>73</v>
      </c>
      <c r="BA258" s="154" t="s">
        <v>73</v>
      </c>
      <c r="BB258" s="152">
        <v>3722742</v>
      </c>
      <c r="BC258" s="153">
        <v>3722742</v>
      </c>
      <c r="BD258" s="153">
        <v>3722742</v>
      </c>
      <c r="BE258" s="157">
        <v>3718777</v>
      </c>
      <c r="BF258" s="157">
        <v>3718777</v>
      </c>
      <c r="BG258" s="157"/>
      <c r="BH258" s="155"/>
      <c r="BI258" s="152">
        <v>3661338</v>
      </c>
      <c r="BJ258" s="153">
        <v>3581332</v>
      </c>
      <c r="BK258" s="153">
        <v>3613937</v>
      </c>
      <c r="BL258" s="153">
        <v>3719046</v>
      </c>
      <c r="BM258" s="153">
        <v>3657800</v>
      </c>
      <c r="BN258" s="154">
        <f>SUMIF(BI258:BM258,"&gt;0",BI258:BM258)</f>
        <v>18233453</v>
      </c>
      <c r="BO258" s="156"/>
      <c r="BP258" s="148"/>
      <c r="BQ258" s="153"/>
      <c r="BR258" s="153"/>
      <c r="BS258" s="152"/>
      <c r="BT258" s="148"/>
      <c r="BU258" s="148"/>
      <c r="BV258" s="148"/>
      <c r="BW258" s="148"/>
      <c r="BX258" s="154">
        <f>SUM(BS258:BW258)</f>
        <v>0</v>
      </c>
      <c r="BY258" s="143"/>
      <c r="BZ258" s="143"/>
      <c r="CA258" s="143"/>
      <c r="CB258" s="143"/>
      <c r="CC258" s="143"/>
      <c r="CD258" s="259"/>
    </row>
    <row r="259" spans="1:82" ht="14.5">
      <c r="A259" s="143" t="s">
        <v>297</v>
      </c>
      <c r="B259" s="143" t="s">
        <v>1033</v>
      </c>
      <c r="C259" s="144" t="s">
        <v>1034</v>
      </c>
      <c r="D259" s="144" t="s">
        <v>1035</v>
      </c>
      <c r="E259" s="145" t="s">
        <v>1036</v>
      </c>
      <c r="F259" s="143" t="str">
        <f>SUBSTITUTE(E259," ","")</f>
        <v>38099830476</v>
      </c>
      <c r="G259" s="143" t="s">
        <v>1037</v>
      </c>
      <c r="H259" s="143" t="s">
        <v>31</v>
      </c>
      <c r="I259" s="143">
        <v>2560</v>
      </c>
      <c r="J259" s="143">
        <v>-34.163739999999997</v>
      </c>
      <c r="K259" s="143">
        <v>150.789964</v>
      </c>
      <c r="L259" s="143" t="s">
        <v>292</v>
      </c>
      <c r="M259" s="143" t="s">
        <v>292</v>
      </c>
      <c r="N259" s="143" t="s">
        <v>292</v>
      </c>
      <c r="O259" s="143"/>
      <c r="P259" s="143"/>
      <c r="Q259" s="143" t="s">
        <v>29</v>
      </c>
      <c r="R259" s="143" t="s">
        <v>29</v>
      </c>
      <c r="S259" s="147" t="s">
        <v>612</v>
      </c>
      <c r="T259" s="143">
        <v>1</v>
      </c>
      <c r="U259" s="143" t="s">
        <v>1038</v>
      </c>
      <c r="V259" s="143" t="s">
        <v>1039</v>
      </c>
      <c r="W259" s="143" t="s">
        <v>1040</v>
      </c>
      <c r="X259" s="143" t="s">
        <v>1041</v>
      </c>
      <c r="Y259" s="143" t="s">
        <v>1034</v>
      </c>
      <c r="Z259" s="143" t="s">
        <v>1042</v>
      </c>
      <c r="AA259" s="143" t="s">
        <v>1043</v>
      </c>
      <c r="AB259" s="153">
        <v>245993</v>
      </c>
      <c r="AC259" s="153" t="s">
        <v>1044</v>
      </c>
      <c r="AD259" s="153"/>
      <c r="AE259" s="153"/>
      <c r="AF259" s="143" t="s">
        <v>1045</v>
      </c>
      <c r="AG259" s="155"/>
      <c r="AH259" s="147" t="s">
        <v>26</v>
      </c>
      <c r="AI259" s="146" t="s">
        <v>25</v>
      </c>
      <c r="AJ259" s="146" t="s">
        <v>1046</v>
      </c>
      <c r="AK259" s="146" t="s">
        <v>33</v>
      </c>
      <c r="AL259" s="143" t="s">
        <v>134</v>
      </c>
      <c r="AM259" s="143"/>
      <c r="AN259" s="143"/>
      <c r="AO259" s="143"/>
      <c r="AP259" s="152"/>
      <c r="AQ259" s="153"/>
      <c r="AR259" s="153"/>
      <c r="AS259" s="153"/>
      <c r="AT259" s="153"/>
      <c r="AU259" s="154"/>
      <c r="AV259" s="153" t="s">
        <v>1028</v>
      </c>
      <c r="AW259" s="153" t="s">
        <v>106</v>
      </c>
      <c r="AX259" s="153" t="s">
        <v>106</v>
      </c>
      <c r="AY259" s="153" t="s">
        <v>106</v>
      </c>
      <c r="AZ259" s="153" t="s">
        <v>106</v>
      </c>
      <c r="BA259" s="154" t="s">
        <v>114</v>
      </c>
      <c r="BB259" s="152">
        <v>3960227</v>
      </c>
      <c r="BC259" s="153">
        <v>3960227</v>
      </c>
      <c r="BD259" s="153">
        <v>3960227</v>
      </c>
      <c r="BE259" s="157">
        <v>3960227</v>
      </c>
      <c r="BF259" s="157">
        <v>3960227</v>
      </c>
      <c r="BG259" s="157"/>
      <c r="BH259" s="155"/>
      <c r="BI259" s="152">
        <v>2384840</v>
      </c>
      <c r="BJ259" s="153">
        <v>1915679</v>
      </c>
      <c r="BK259" s="153">
        <v>2009716</v>
      </c>
      <c r="BL259" s="153">
        <v>2167030</v>
      </c>
      <c r="BM259" s="153">
        <v>1940513</v>
      </c>
      <c r="BN259" s="154">
        <f>SUMIF(BI259:BM259,"&gt;0",BI259:BM259)</f>
        <v>10417778</v>
      </c>
      <c r="BO259" s="156">
        <v>5495510</v>
      </c>
      <c r="BP259" s="148">
        <v>5495510</v>
      </c>
      <c r="BQ259" s="153">
        <v>5495510</v>
      </c>
      <c r="BR259" s="153">
        <v>5495510</v>
      </c>
      <c r="BS259" s="152">
        <v>4000000</v>
      </c>
      <c r="BT259" s="148">
        <v>1770000</v>
      </c>
      <c r="BU259" s="148">
        <v>3660000</v>
      </c>
      <c r="BV259" s="148">
        <v>3561000</v>
      </c>
      <c r="BW259" s="148">
        <v>4437000</v>
      </c>
      <c r="BX259" s="154">
        <f>SUM(BS259:BW259)</f>
        <v>17428000</v>
      </c>
      <c r="BY259" s="143">
        <f>BI259/BS259</f>
        <v>0.59621000000000002</v>
      </c>
      <c r="BZ259" s="143">
        <f>BJ259/BT259</f>
        <v>1.0823045197740113</v>
      </c>
      <c r="CA259" s="143">
        <f>BK259/BU259</f>
        <v>0.54910273224043715</v>
      </c>
      <c r="CB259" s="143">
        <f>BL259/BV259</f>
        <v>0.60854535242909291</v>
      </c>
      <c r="CC259" s="143">
        <f>BM259/BW259</f>
        <v>0.43734798287130944</v>
      </c>
      <c r="CD259" s="259">
        <f>AVERAGE(BY259:CC259)</f>
        <v>0.65470211746297013</v>
      </c>
    </row>
    <row r="260" spans="1:82" ht="14.5">
      <c r="A260" s="143" t="s">
        <v>366</v>
      </c>
      <c r="B260" s="143" t="s">
        <v>1256</v>
      </c>
      <c r="C260" s="144" t="s">
        <v>1257</v>
      </c>
      <c r="D260" s="144" t="s">
        <v>1035</v>
      </c>
      <c r="E260" s="145" t="s">
        <v>1258</v>
      </c>
      <c r="F260" s="143" t="str">
        <f>SUBSTITUTE(E260," ","")</f>
        <v>85098744088</v>
      </c>
      <c r="G260" s="143" t="s">
        <v>1259</v>
      </c>
      <c r="H260" s="143" t="s">
        <v>31</v>
      </c>
      <c r="I260" s="143">
        <v>2526</v>
      </c>
      <c r="J260" s="143">
        <v>-34.432000000000002</v>
      </c>
      <c r="K260" s="143">
        <v>150.809</v>
      </c>
      <c r="L260" s="143">
        <v>2002</v>
      </c>
      <c r="M260" s="143">
        <v>20</v>
      </c>
      <c r="N260" s="143">
        <v>2048</v>
      </c>
      <c r="O260" s="143"/>
      <c r="P260" s="143"/>
      <c r="Q260" s="143" t="s">
        <v>29</v>
      </c>
      <c r="R260" s="143" t="s">
        <v>29</v>
      </c>
      <c r="S260" s="147"/>
      <c r="T260" s="143"/>
      <c r="U260" s="143"/>
      <c r="V260" s="143"/>
      <c r="W260" s="143"/>
      <c r="X260" s="143"/>
      <c r="Y260" s="143"/>
      <c r="Z260" s="143"/>
      <c r="AA260" s="143"/>
      <c r="AB260" s="143"/>
      <c r="AC260" s="143"/>
      <c r="AD260" s="153"/>
      <c r="AE260" s="153"/>
      <c r="AF260" s="143"/>
      <c r="AG260" s="155"/>
      <c r="AH260" s="147" t="s">
        <v>26</v>
      </c>
      <c r="AI260" s="146" t="s">
        <v>25</v>
      </c>
      <c r="AJ260" s="146" t="s">
        <v>1189</v>
      </c>
      <c r="AK260" s="146" t="s">
        <v>33</v>
      </c>
      <c r="AL260" s="146" t="s">
        <v>134</v>
      </c>
      <c r="AM260" s="143" t="s">
        <v>83</v>
      </c>
      <c r="AN260" s="143">
        <v>5.2</v>
      </c>
      <c r="AO260" s="143"/>
      <c r="AP260" s="152"/>
      <c r="AQ260" s="153"/>
      <c r="AR260" s="153"/>
      <c r="AS260" s="153"/>
      <c r="AT260" s="153"/>
      <c r="AU260" s="154"/>
      <c r="AV260" s="153" t="s">
        <v>106</v>
      </c>
      <c r="AW260" s="153" t="s">
        <v>106</v>
      </c>
      <c r="AX260" s="153" t="s">
        <v>106</v>
      </c>
      <c r="AY260" s="153" t="s">
        <v>106</v>
      </c>
      <c r="AZ260" s="153" t="s">
        <v>106</v>
      </c>
      <c r="BA260" s="154" t="s">
        <v>114</v>
      </c>
      <c r="BB260" s="152">
        <v>447048</v>
      </c>
      <c r="BC260" s="153">
        <v>447048</v>
      </c>
      <c r="BD260" s="153">
        <v>447048</v>
      </c>
      <c r="BE260" s="157">
        <v>447048</v>
      </c>
      <c r="BF260" s="157">
        <v>447048</v>
      </c>
      <c r="BG260" s="157"/>
      <c r="BH260" s="155"/>
      <c r="BI260" s="158">
        <v>213459</v>
      </c>
      <c r="BJ260" s="165">
        <v>176236</v>
      </c>
      <c r="BK260" s="153">
        <v>189667</v>
      </c>
      <c r="BL260" s="153">
        <v>188028</v>
      </c>
      <c r="BM260" s="153">
        <v>234807</v>
      </c>
      <c r="BN260" s="154">
        <f>SUMIF(BI260:BM260,"&gt;0",BI260:BM260)</f>
        <v>1002197</v>
      </c>
      <c r="BO260" s="156"/>
      <c r="BP260" s="148"/>
      <c r="BQ260" s="153"/>
      <c r="BR260" s="153"/>
      <c r="BS260" s="158">
        <v>4567426</v>
      </c>
      <c r="BT260" s="165">
        <v>3691454</v>
      </c>
      <c r="BU260" s="165">
        <v>4679517</v>
      </c>
      <c r="BV260" s="165">
        <v>4906074</v>
      </c>
      <c r="BW260" s="165">
        <v>4578216</v>
      </c>
      <c r="BX260" s="154">
        <f>SUM(BS260:BW260)</f>
        <v>22422687</v>
      </c>
      <c r="BY260" s="143">
        <f>BI260/BS260</f>
        <v>4.6735075729743621E-2</v>
      </c>
      <c r="BZ260" s="143">
        <f>BJ260/BT260</f>
        <v>4.7741621594092731E-2</v>
      </c>
      <c r="CA260" s="143">
        <f>BK260/BU260</f>
        <v>4.0531319792192232E-2</v>
      </c>
      <c r="CB260" s="143">
        <f>BL260/BV260</f>
        <v>3.832555318162751E-2</v>
      </c>
      <c r="CC260" s="143">
        <f>BM260/BW260</f>
        <v>5.1287881567842149E-2</v>
      </c>
      <c r="CD260" s="259">
        <f>AVERAGE(BY260:CC260)</f>
        <v>4.4924290373099647E-2</v>
      </c>
    </row>
    <row r="261" spans="1:82" ht="14.5">
      <c r="A261" s="143" t="s">
        <v>332</v>
      </c>
      <c r="B261" s="143" t="s">
        <v>1162</v>
      </c>
      <c r="C261" s="144" t="s">
        <v>1163</v>
      </c>
      <c r="D261" s="144" t="s">
        <v>1035</v>
      </c>
      <c r="E261" s="145" t="s">
        <v>1164</v>
      </c>
      <c r="F261" s="143" t="str">
        <f>SUBSTITUTE(E261," ","")</f>
        <v>48125530967</v>
      </c>
      <c r="G261" s="143" t="s">
        <v>1165</v>
      </c>
      <c r="H261" s="143" t="s">
        <v>53</v>
      </c>
      <c r="I261" s="143">
        <v>4735</v>
      </c>
      <c r="J261" s="143">
        <v>-21.859905999999999</v>
      </c>
      <c r="K261" s="143">
        <v>140.91424900000001</v>
      </c>
      <c r="L261" s="143">
        <v>1997</v>
      </c>
      <c r="M261" s="143">
        <v>25</v>
      </c>
      <c r="N261" s="143">
        <v>2029</v>
      </c>
      <c r="O261" s="143"/>
      <c r="P261" s="143"/>
      <c r="Q261" s="143" t="s">
        <v>227</v>
      </c>
      <c r="R261" s="143" t="s">
        <v>79</v>
      </c>
      <c r="S261" s="147"/>
      <c r="T261" s="143"/>
      <c r="U261" s="143"/>
      <c r="V261" s="143"/>
      <c r="W261" s="143"/>
      <c r="X261" s="143"/>
      <c r="Y261" s="143"/>
      <c r="Z261" s="143"/>
      <c r="AA261" s="143"/>
      <c r="AB261" s="143"/>
      <c r="AC261" s="143"/>
      <c r="AD261" s="153"/>
      <c r="AE261" s="153"/>
      <c r="AF261" s="143"/>
      <c r="AG261" s="155"/>
      <c r="AH261" s="150" t="s">
        <v>37</v>
      </c>
      <c r="AI261" s="151" t="s">
        <v>76</v>
      </c>
      <c r="AJ261" s="151" t="s">
        <v>70</v>
      </c>
      <c r="AK261" s="151" t="s">
        <v>70</v>
      </c>
      <c r="AL261" s="151" t="s">
        <v>118</v>
      </c>
      <c r="AM261" s="151" t="s">
        <v>70</v>
      </c>
      <c r="AN261" s="151" t="s">
        <v>70</v>
      </c>
      <c r="AO261" s="151" t="s">
        <v>70</v>
      </c>
      <c r="AP261" s="152"/>
      <c r="AQ261" s="153"/>
      <c r="AR261" s="153"/>
      <c r="AS261" s="153"/>
      <c r="AT261" s="153"/>
      <c r="AU261" s="154"/>
      <c r="AV261" s="153" t="s">
        <v>106</v>
      </c>
      <c r="AW261" s="153" t="s">
        <v>106</v>
      </c>
      <c r="AX261" s="153" t="s">
        <v>106</v>
      </c>
      <c r="AY261" s="153" t="s">
        <v>106</v>
      </c>
      <c r="AZ261" s="153" t="s">
        <v>106</v>
      </c>
      <c r="BA261" s="154" t="s">
        <v>114</v>
      </c>
      <c r="BB261" s="152">
        <v>143326</v>
      </c>
      <c r="BC261" s="153">
        <v>143326</v>
      </c>
      <c r="BD261" s="153">
        <v>143326</v>
      </c>
      <c r="BE261" s="157">
        <v>143326</v>
      </c>
      <c r="BF261" s="157">
        <v>143326</v>
      </c>
      <c r="BG261" s="157"/>
      <c r="BH261" s="155"/>
      <c r="BI261" s="152" t="s">
        <v>920</v>
      </c>
      <c r="BJ261" s="153" t="s">
        <v>920</v>
      </c>
      <c r="BK261" s="153">
        <v>127085</v>
      </c>
      <c r="BL261" s="153">
        <v>129709</v>
      </c>
      <c r="BM261" s="153">
        <v>124037</v>
      </c>
      <c r="BN261" s="154">
        <f>SUMIF(BI261:BM261,"&gt;0",BI261:BM261)</f>
        <v>380831</v>
      </c>
      <c r="BO261" s="156"/>
      <c r="BP261" s="148"/>
      <c r="BQ261" s="153"/>
      <c r="BR261" s="153"/>
      <c r="BS261" s="152"/>
      <c r="BT261" s="148"/>
      <c r="BU261" s="148"/>
      <c r="BV261" s="148"/>
      <c r="BW261" s="148"/>
      <c r="BX261" s="154">
        <f>SUM(BS261:BW261)</f>
        <v>0</v>
      </c>
      <c r="BY261" s="143"/>
      <c r="BZ261" s="143"/>
      <c r="CA261" s="143"/>
      <c r="CB261" s="143"/>
      <c r="CC261" s="143"/>
      <c r="CD261" s="259"/>
    </row>
    <row r="262" spans="1:82" ht="14.5">
      <c r="A262" s="143" t="s">
        <v>392</v>
      </c>
      <c r="B262" s="143" t="s">
        <v>1352</v>
      </c>
      <c r="C262" s="144" t="s">
        <v>685</v>
      </c>
      <c r="D262" s="144" t="s">
        <v>1353</v>
      </c>
      <c r="E262" s="145" t="s">
        <v>1354</v>
      </c>
      <c r="F262" s="143" t="str">
        <f>SUBSTITUTE(E262," ","")</f>
        <v>26004618491</v>
      </c>
      <c r="G262" s="143" t="s">
        <v>1355</v>
      </c>
      <c r="H262" s="143" t="s">
        <v>42</v>
      </c>
      <c r="I262" s="143">
        <v>822</v>
      </c>
      <c r="J262" s="143">
        <v>-13.981417</v>
      </c>
      <c r="K262" s="143">
        <v>136.44285600000001</v>
      </c>
      <c r="L262" s="143">
        <v>1964</v>
      </c>
      <c r="M262" s="143">
        <v>58</v>
      </c>
      <c r="N262" s="143">
        <v>2026</v>
      </c>
      <c r="O262" s="143"/>
      <c r="P262" s="143"/>
      <c r="Q262" s="143" t="s">
        <v>226</v>
      </c>
      <c r="R262" s="143" t="s">
        <v>79</v>
      </c>
      <c r="S262" s="147"/>
      <c r="T262" s="143"/>
      <c r="U262" s="143"/>
      <c r="V262" s="143"/>
      <c r="W262" s="143"/>
      <c r="X262" s="143"/>
      <c r="Y262" s="143"/>
      <c r="Z262" s="143"/>
      <c r="AA262" s="143"/>
      <c r="AB262" s="143"/>
      <c r="AC262" s="143"/>
      <c r="AD262" s="153"/>
      <c r="AE262" s="153"/>
      <c r="AF262" s="143"/>
      <c r="AG262" s="155"/>
      <c r="AH262" s="150" t="s">
        <v>37</v>
      </c>
      <c r="AI262" s="151" t="s">
        <v>76</v>
      </c>
      <c r="AJ262" s="151" t="s">
        <v>70</v>
      </c>
      <c r="AK262" s="151" t="s">
        <v>70</v>
      </c>
      <c r="AL262" s="151" t="s">
        <v>118</v>
      </c>
      <c r="AM262" s="151" t="s">
        <v>70</v>
      </c>
      <c r="AN262" s="151" t="s">
        <v>70</v>
      </c>
      <c r="AO262" s="151" t="s">
        <v>70</v>
      </c>
      <c r="AP262" s="152"/>
      <c r="AQ262" s="153"/>
      <c r="AR262" s="153"/>
      <c r="AS262" s="153"/>
      <c r="AT262" s="153"/>
      <c r="AU262" s="154"/>
      <c r="AV262" s="153" t="s">
        <v>41</v>
      </c>
      <c r="AW262" s="153" t="s">
        <v>41</v>
      </c>
      <c r="AX262" s="153" t="s">
        <v>41</v>
      </c>
      <c r="AY262" s="153" t="s">
        <v>73</v>
      </c>
      <c r="AZ262" s="153" t="s">
        <v>73</v>
      </c>
      <c r="BA262" s="154" t="s">
        <v>73</v>
      </c>
      <c r="BB262" s="152">
        <v>175537</v>
      </c>
      <c r="BC262" s="153">
        <v>175537</v>
      </c>
      <c r="BD262" s="153">
        <v>175537</v>
      </c>
      <c r="BE262" s="157">
        <v>195344</v>
      </c>
      <c r="BF262" s="157">
        <v>195344</v>
      </c>
      <c r="BG262" s="157"/>
      <c r="BH262" s="155"/>
      <c r="BI262" s="152">
        <v>158948</v>
      </c>
      <c r="BJ262" s="153">
        <v>170999</v>
      </c>
      <c r="BK262" s="153">
        <v>179801</v>
      </c>
      <c r="BL262" s="153">
        <v>189801</v>
      </c>
      <c r="BM262" s="153">
        <v>197582</v>
      </c>
      <c r="BN262" s="154">
        <f>SUMIF(BI262:BM262,"&gt;0",BI262:BM262)</f>
        <v>897131</v>
      </c>
      <c r="BO262" s="156"/>
      <c r="BP262" s="148"/>
      <c r="BQ262" s="153"/>
      <c r="BR262" s="153"/>
      <c r="BS262" s="152"/>
      <c r="BT262" s="148"/>
      <c r="BU262" s="148"/>
      <c r="BV262" s="148"/>
      <c r="BW262" s="148"/>
      <c r="BX262" s="154">
        <f>SUM(BS262:BW262)</f>
        <v>0</v>
      </c>
      <c r="BY262" s="143"/>
      <c r="BZ262" s="143"/>
      <c r="CA262" s="143"/>
      <c r="CB262" s="143"/>
      <c r="CC262" s="143"/>
      <c r="CD262" s="143"/>
    </row>
    <row r="263" spans="1:82" ht="14.5">
      <c r="A263" s="143" t="s">
        <v>430</v>
      </c>
      <c r="B263" s="143"/>
      <c r="C263" s="144"/>
      <c r="D263" s="144" t="s">
        <v>1495</v>
      </c>
      <c r="E263" s="145" t="s">
        <v>721</v>
      </c>
      <c r="F263" s="143" t="str">
        <f>SUBSTITUTE(E263," ","")</f>
        <v>36009165066</v>
      </c>
      <c r="G263" s="143" t="s">
        <v>1496</v>
      </c>
      <c r="H263" s="143" t="s">
        <v>81</v>
      </c>
      <c r="I263" s="143">
        <v>6438</v>
      </c>
      <c r="J263" s="143">
        <v>-28.9175</v>
      </c>
      <c r="K263" s="143">
        <v>121.332222</v>
      </c>
      <c r="L263" s="143" t="s">
        <v>292</v>
      </c>
      <c r="M263" s="143" t="s">
        <v>292</v>
      </c>
      <c r="N263" s="143" t="s">
        <v>292</v>
      </c>
      <c r="O263" s="143"/>
      <c r="P263" s="143"/>
      <c r="Q263" s="143" t="s">
        <v>123</v>
      </c>
      <c r="R263" s="143" t="s">
        <v>79</v>
      </c>
      <c r="S263" s="147"/>
      <c r="T263" s="143"/>
      <c r="U263" s="143"/>
      <c r="V263" s="143"/>
      <c r="W263" s="143"/>
      <c r="X263" s="143"/>
      <c r="Y263" s="143"/>
      <c r="Z263" s="143"/>
      <c r="AA263" s="143"/>
      <c r="AB263" s="143"/>
      <c r="AC263" s="143"/>
      <c r="AD263" s="153"/>
      <c r="AE263" s="153"/>
      <c r="AF263" s="143"/>
      <c r="AG263" s="155"/>
      <c r="AH263" s="150" t="s">
        <v>37</v>
      </c>
      <c r="AI263" s="151" t="s">
        <v>76</v>
      </c>
      <c r="AJ263" s="151" t="s">
        <v>70</v>
      </c>
      <c r="AK263" s="151" t="s">
        <v>70</v>
      </c>
      <c r="AL263" s="151" t="s">
        <v>118</v>
      </c>
      <c r="AM263" s="151" t="s">
        <v>70</v>
      </c>
      <c r="AN263" s="151" t="s">
        <v>70</v>
      </c>
      <c r="AO263" s="151" t="s">
        <v>70</v>
      </c>
      <c r="AP263" s="152"/>
      <c r="AQ263" s="153"/>
      <c r="AR263" s="153"/>
      <c r="AS263" s="153"/>
      <c r="AT263" s="153"/>
      <c r="AU263" s="154"/>
      <c r="AV263" s="153" t="s">
        <v>114</v>
      </c>
      <c r="AW263" s="153" t="s">
        <v>114</v>
      </c>
      <c r="AX263" s="153" t="s">
        <v>114</v>
      </c>
      <c r="AY263" s="153" t="s">
        <v>114</v>
      </c>
      <c r="AZ263" s="153" t="s">
        <v>73</v>
      </c>
      <c r="BA263" s="154" t="s">
        <v>73</v>
      </c>
      <c r="BB263" s="152" t="s">
        <v>114</v>
      </c>
      <c r="BC263" s="153" t="s">
        <v>114</v>
      </c>
      <c r="BD263" s="153" t="s">
        <v>114</v>
      </c>
      <c r="BE263" s="153" t="s">
        <v>114</v>
      </c>
      <c r="BF263" s="157">
        <v>116852</v>
      </c>
      <c r="BG263" s="157"/>
      <c r="BH263" s="155"/>
      <c r="BI263" s="152" t="s">
        <v>920</v>
      </c>
      <c r="BJ263" s="153" t="s">
        <v>920</v>
      </c>
      <c r="BK263" s="153" t="s">
        <v>920</v>
      </c>
      <c r="BL263" s="153" t="s">
        <v>920</v>
      </c>
      <c r="BM263" s="153" t="s">
        <v>920</v>
      </c>
      <c r="BN263" s="154">
        <f>SUMIF(BI263:BM263,"&gt;0",BI263:BM263)</f>
        <v>0</v>
      </c>
      <c r="BO263" s="156"/>
      <c r="BP263" s="148"/>
      <c r="BQ263" s="153"/>
      <c r="BR263" s="153"/>
      <c r="BS263" s="152"/>
      <c r="BT263" s="148"/>
      <c r="BU263" s="148"/>
      <c r="BV263" s="148"/>
      <c r="BW263" s="148"/>
      <c r="BX263" s="154">
        <f>SUM(BS263:BW263)</f>
        <v>0</v>
      </c>
      <c r="BY263" s="143"/>
      <c r="BZ263" s="143"/>
      <c r="CA263" s="143"/>
      <c r="CB263" s="143"/>
      <c r="CC263" s="143"/>
      <c r="CD263" s="143"/>
    </row>
    <row r="264" spans="1:82" ht="14.5">
      <c r="A264" s="143" t="s">
        <v>552</v>
      </c>
      <c r="B264" s="143" t="s">
        <v>1912</v>
      </c>
      <c r="C264" s="144" t="s">
        <v>782</v>
      </c>
      <c r="D264" s="144" t="s">
        <v>1439</v>
      </c>
      <c r="E264" s="145" t="s">
        <v>783</v>
      </c>
      <c r="F264" s="143" t="str">
        <f>SUBSTITUTE(E264," ","")</f>
        <v>34009713875</v>
      </c>
      <c r="G264" s="143" t="s">
        <v>1155</v>
      </c>
      <c r="H264" s="143" t="s">
        <v>53</v>
      </c>
      <c r="I264" s="143">
        <v>4742</v>
      </c>
      <c r="J264" s="143">
        <v>-22.3</v>
      </c>
      <c r="K264" s="143">
        <v>148.241389</v>
      </c>
      <c r="L264" s="143">
        <v>1996</v>
      </c>
      <c r="M264" s="143">
        <v>26</v>
      </c>
      <c r="N264" s="143">
        <v>2036</v>
      </c>
      <c r="O264" s="143"/>
      <c r="P264" s="143"/>
      <c r="Q264" s="143" t="s">
        <v>29</v>
      </c>
      <c r="R264" s="143" t="s">
        <v>29</v>
      </c>
      <c r="S264" s="147"/>
      <c r="T264" s="143"/>
      <c r="U264" s="143"/>
      <c r="V264" s="143"/>
      <c r="W264" s="143"/>
      <c r="X264" s="143"/>
      <c r="Y264" s="143"/>
      <c r="Z264" s="143"/>
      <c r="AA264" s="143"/>
      <c r="AB264" s="143"/>
      <c r="AC264" s="143"/>
      <c r="AD264" s="153"/>
      <c r="AE264" s="153"/>
      <c r="AF264" s="143"/>
      <c r="AG264" s="155"/>
      <c r="AH264" s="147" t="s">
        <v>26</v>
      </c>
      <c r="AI264" s="146" t="s">
        <v>69</v>
      </c>
      <c r="AJ264" s="146" t="s">
        <v>1913</v>
      </c>
      <c r="AK264" s="146" t="s">
        <v>21</v>
      </c>
      <c r="AL264" s="143" t="s">
        <v>43</v>
      </c>
      <c r="AM264" s="143"/>
      <c r="AN264" s="143"/>
      <c r="AO264" s="143"/>
      <c r="AP264" s="152" t="s">
        <v>26</v>
      </c>
      <c r="AQ264" s="153" t="s">
        <v>26</v>
      </c>
      <c r="AR264" s="160" t="str">
        <f>IF(BF264&gt;(BD264*1.1),"yes","no")</f>
        <v>no</v>
      </c>
      <c r="AS264" s="160" t="str">
        <f>IF(BM264&gt;(BJ264*1.1),"yes","no")</f>
        <v>yes</v>
      </c>
      <c r="AT264" s="160" t="str">
        <f>IF(BM264&gt;(BI264*1.1),"yes","no")</f>
        <v>yes</v>
      </c>
      <c r="AU264" s="154">
        <v>0</v>
      </c>
      <c r="AV264" s="153" t="s">
        <v>41</v>
      </c>
      <c r="AW264" s="153" t="s">
        <v>41</v>
      </c>
      <c r="AX264" s="153" t="s">
        <v>80</v>
      </c>
      <c r="AY264" s="153" t="s">
        <v>80</v>
      </c>
      <c r="AZ264" s="153" t="s">
        <v>80</v>
      </c>
      <c r="BA264" s="154" t="s">
        <v>114</v>
      </c>
      <c r="BB264" s="152">
        <v>230831</v>
      </c>
      <c r="BC264" s="153">
        <v>230831</v>
      </c>
      <c r="BD264" s="153">
        <v>306735</v>
      </c>
      <c r="BE264" s="157">
        <v>307575</v>
      </c>
      <c r="BF264" s="157">
        <v>326758</v>
      </c>
      <c r="BG264" s="157"/>
      <c r="BH264" s="155"/>
      <c r="BI264" s="152">
        <v>254807</v>
      </c>
      <c r="BJ264" s="153">
        <v>273252</v>
      </c>
      <c r="BK264" s="153">
        <v>250651</v>
      </c>
      <c r="BL264" s="153">
        <v>264293</v>
      </c>
      <c r="BM264" s="153">
        <v>304815</v>
      </c>
      <c r="BN264" s="154">
        <f>SUMIF(BI264:BM264,"&gt;0",BI264:BM264)</f>
        <v>1347818</v>
      </c>
      <c r="BO264" s="156"/>
      <c r="BP264" s="148"/>
      <c r="BQ264" s="153"/>
      <c r="BR264" s="153"/>
      <c r="BS264" s="152">
        <v>5123000</v>
      </c>
      <c r="BT264" s="148">
        <v>6029000</v>
      </c>
      <c r="BU264" s="148">
        <v>6194000</v>
      </c>
      <c r="BV264" s="148">
        <v>5415000</v>
      </c>
      <c r="BW264" s="148">
        <v>4887000</v>
      </c>
      <c r="BX264" s="154">
        <f>SUM(BS264:BW264)</f>
        <v>27648000</v>
      </c>
      <c r="BY264" s="143">
        <f>BI264/BS264</f>
        <v>4.9737848916650403E-2</v>
      </c>
      <c r="BZ264" s="143">
        <f>BJ264/BT264</f>
        <v>4.5322939127550171E-2</v>
      </c>
      <c r="CA264" s="143">
        <f>BK264/BU264</f>
        <v>4.0466742008395222E-2</v>
      </c>
      <c r="CB264" s="143">
        <f>BL264/BV264</f>
        <v>4.8807571560480149E-2</v>
      </c>
      <c r="CC264" s="143">
        <f>BM264/BW264</f>
        <v>6.2372621240024552E-2</v>
      </c>
      <c r="CD264" s="143">
        <f>AVERAGE(BY264:CC264)</f>
        <v>4.9341544570620101E-2</v>
      </c>
    </row>
    <row r="265" spans="1:82" ht="14.5">
      <c r="A265" s="143" t="s">
        <v>505</v>
      </c>
      <c r="B265" s="143" t="s">
        <v>1741</v>
      </c>
      <c r="C265" s="144" t="s">
        <v>782</v>
      </c>
      <c r="D265" s="144" t="s">
        <v>1439</v>
      </c>
      <c r="E265" s="145" t="s">
        <v>783</v>
      </c>
      <c r="F265" s="143" t="str">
        <f>SUBSTITUTE(E265," ","")</f>
        <v>34009713875</v>
      </c>
      <c r="G265" s="143" t="s">
        <v>1742</v>
      </c>
      <c r="H265" s="143" t="s">
        <v>53</v>
      </c>
      <c r="I265" s="143">
        <v>4744</v>
      </c>
      <c r="J265" s="143">
        <v>-22.051389</v>
      </c>
      <c r="K265" s="143">
        <v>148.255278</v>
      </c>
      <c r="L265" s="143">
        <v>2006</v>
      </c>
      <c r="M265" s="143">
        <v>16</v>
      </c>
      <c r="N265" s="143">
        <v>2029</v>
      </c>
      <c r="O265" s="143"/>
      <c r="P265" s="143"/>
      <c r="Q265" s="143" t="s">
        <v>29</v>
      </c>
      <c r="R265" s="143" t="s">
        <v>29</v>
      </c>
      <c r="S265" s="147"/>
      <c r="T265" s="143"/>
      <c r="U265" s="143"/>
      <c r="V265" s="143"/>
      <c r="W265" s="143"/>
      <c r="X265" s="143"/>
      <c r="Y265" s="143"/>
      <c r="Z265" s="143"/>
      <c r="AA265" s="143"/>
      <c r="AB265" s="143"/>
      <c r="AC265" s="143"/>
      <c r="AD265" s="153"/>
      <c r="AE265" s="153"/>
      <c r="AF265" s="143"/>
      <c r="AG265" s="155"/>
      <c r="AH265" s="147" t="s">
        <v>26</v>
      </c>
      <c r="AI265" s="146" t="s">
        <v>69</v>
      </c>
      <c r="AJ265" s="146" t="s">
        <v>1743</v>
      </c>
      <c r="AK265" s="146" t="s">
        <v>21</v>
      </c>
      <c r="AL265" s="143" t="s">
        <v>43</v>
      </c>
      <c r="AM265" s="143"/>
      <c r="AN265" s="143"/>
      <c r="AO265" s="143"/>
      <c r="AP265" s="152" t="s">
        <v>26</v>
      </c>
      <c r="AQ265" s="153" t="s">
        <v>37</v>
      </c>
      <c r="AR265" s="160" t="str">
        <f>IF(BF265&gt;(BE265*1.1),"yes","no")</f>
        <v>no</v>
      </c>
      <c r="AS265" s="160" t="str">
        <f>IF(BM265&gt;(BJ265*1.1),"yes","no")</f>
        <v>yes</v>
      </c>
      <c r="AT265" s="160" t="str">
        <f>IF(BM265&gt;(BI265*1.1),"yes","no")</f>
        <v>yes</v>
      </c>
      <c r="AU265" s="154">
        <v>0</v>
      </c>
      <c r="AV265" s="153" t="s">
        <v>1028</v>
      </c>
      <c r="AW265" s="153" t="s">
        <v>106</v>
      </c>
      <c r="AX265" s="153" t="s">
        <v>92</v>
      </c>
      <c r="AY265" s="153" t="s">
        <v>80</v>
      </c>
      <c r="AZ265" s="153" t="s">
        <v>80</v>
      </c>
      <c r="BA265" s="154" t="s">
        <v>80</v>
      </c>
      <c r="BB265" s="152">
        <v>152255</v>
      </c>
      <c r="BC265" s="153">
        <v>152255</v>
      </c>
      <c r="BD265" s="153">
        <v>171885</v>
      </c>
      <c r="BE265" s="157">
        <v>192300</v>
      </c>
      <c r="BF265" s="157">
        <v>191775</v>
      </c>
      <c r="BG265" s="157"/>
      <c r="BH265" s="155"/>
      <c r="BI265" s="152">
        <v>134439</v>
      </c>
      <c r="BJ265" s="153">
        <v>147484</v>
      </c>
      <c r="BK265" s="153">
        <v>171885</v>
      </c>
      <c r="BL265" s="153">
        <v>194712</v>
      </c>
      <c r="BM265" s="153">
        <v>201368</v>
      </c>
      <c r="BN265" s="154">
        <f>SUMIF(BI265:BM265,"&gt;0",BI265:BM265)</f>
        <v>849888</v>
      </c>
      <c r="BO265" s="156"/>
      <c r="BP265" s="148"/>
      <c r="BQ265" s="153"/>
      <c r="BR265" s="153"/>
      <c r="BS265" s="152">
        <v>3189000</v>
      </c>
      <c r="BT265" s="148">
        <v>3718000</v>
      </c>
      <c r="BU265" s="148">
        <v>4071000</v>
      </c>
      <c r="BV265" s="148">
        <v>4128000</v>
      </c>
      <c r="BW265" s="148">
        <v>3854000</v>
      </c>
      <c r="BX265" s="154">
        <f>SUM(BS265:BW265)</f>
        <v>18960000</v>
      </c>
      <c r="BY265" s="143">
        <f>BI265/BS265</f>
        <v>4.2157102539981187E-2</v>
      </c>
      <c r="BZ265" s="143">
        <f>BJ265/BT265</f>
        <v>3.9667563206024742E-2</v>
      </c>
      <c r="CA265" s="143">
        <f>BK265/BU265</f>
        <v>4.2221812822402359E-2</v>
      </c>
      <c r="CB265" s="143">
        <f>BL265/BV265</f>
        <v>4.7168604651162793E-2</v>
      </c>
      <c r="CC265" s="143">
        <f>BM265/BW265</f>
        <v>5.2249091852620652E-2</v>
      </c>
      <c r="CD265" s="143">
        <f>AVERAGE(BY265:CC265)</f>
        <v>4.4692835014438347E-2</v>
      </c>
    </row>
    <row r="266" spans="1:82" ht="14.5">
      <c r="A266" s="143" t="s">
        <v>415</v>
      </c>
      <c r="B266" s="143"/>
      <c r="C266" s="144"/>
      <c r="D266" s="144" t="s">
        <v>1439</v>
      </c>
      <c r="E266" s="145" t="s">
        <v>1440</v>
      </c>
      <c r="F266" s="143" t="str">
        <f>SUBSTITUTE(E266," ","")</f>
        <v>79606244615</v>
      </c>
      <c r="G266" s="143" t="s">
        <v>1181</v>
      </c>
      <c r="H266" s="143" t="s">
        <v>53</v>
      </c>
      <c r="I266" s="143">
        <v>4741</v>
      </c>
      <c r="J266" s="143">
        <v>-21.962776999999999</v>
      </c>
      <c r="K266" s="143">
        <v>148.10555500000001</v>
      </c>
      <c r="L266" s="143" t="s">
        <v>292</v>
      </c>
      <c r="M266" s="143" t="s">
        <v>292</v>
      </c>
      <c r="N266" s="143" t="s">
        <v>292</v>
      </c>
      <c r="O266" s="143"/>
      <c r="P266" s="143"/>
      <c r="Q266" s="143" t="s">
        <v>29</v>
      </c>
      <c r="R266" s="143" t="s">
        <v>29</v>
      </c>
      <c r="S266" s="147"/>
      <c r="T266" s="143"/>
      <c r="U266" s="143"/>
      <c r="V266" s="143"/>
      <c r="W266" s="143"/>
      <c r="X266" s="143"/>
      <c r="Y266" s="143"/>
      <c r="Z266" s="143"/>
      <c r="AA266" s="143"/>
      <c r="AB266" s="143"/>
      <c r="AC266" s="143"/>
      <c r="AD266" s="153"/>
      <c r="AE266" s="153"/>
      <c r="AF266" s="143"/>
      <c r="AG266" s="155"/>
      <c r="AH266" s="147" t="s">
        <v>26</v>
      </c>
      <c r="AI266" s="146" t="s">
        <v>25</v>
      </c>
      <c r="AJ266" s="146" t="s">
        <v>1441</v>
      </c>
      <c r="AK266" s="146" t="s">
        <v>608</v>
      </c>
      <c r="AL266" s="143" t="s">
        <v>43</v>
      </c>
      <c r="AM266" s="143" t="s">
        <v>49</v>
      </c>
      <c r="AN266" s="143">
        <v>1</v>
      </c>
      <c r="AO266" s="143"/>
      <c r="AP266" s="152"/>
      <c r="AQ266" s="153"/>
      <c r="AR266" s="153"/>
      <c r="AS266" s="153"/>
      <c r="AT266" s="153"/>
      <c r="AU266" s="154"/>
      <c r="AV266" s="153" t="s">
        <v>106</v>
      </c>
      <c r="AW266" s="153" t="s">
        <v>106</v>
      </c>
      <c r="AX266" s="153" t="s">
        <v>106</v>
      </c>
      <c r="AY266" s="153" t="s">
        <v>106</v>
      </c>
      <c r="AZ266" s="153" t="s">
        <v>106</v>
      </c>
      <c r="BA266" s="154" t="s">
        <v>114</v>
      </c>
      <c r="BB266" s="152">
        <v>143095</v>
      </c>
      <c r="BC266" s="153">
        <v>143095</v>
      </c>
      <c r="BD266" s="153">
        <v>143095</v>
      </c>
      <c r="BE266" s="157">
        <v>143095</v>
      </c>
      <c r="BF266" s="153">
        <v>143095</v>
      </c>
      <c r="BG266" s="157"/>
      <c r="BH266" s="155"/>
      <c r="BI266" s="152" t="s">
        <v>920</v>
      </c>
      <c r="BJ266" s="153" t="s">
        <v>920</v>
      </c>
      <c r="BK266" s="153">
        <v>109886</v>
      </c>
      <c r="BL266" s="153">
        <v>111665</v>
      </c>
      <c r="BM266" s="153" t="s">
        <v>920</v>
      </c>
      <c r="BN266" s="154">
        <f>SUMIF(BI266:BM266,"&gt;0",BI266:BM266)</f>
        <v>221551</v>
      </c>
      <c r="BO266" s="156"/>
      <c r="BP266" s="148"/>
      <c r="BQ266" s="153"/>
      <c r="BR266" s="153"/>
      <c r="BS266" s="156" t="s">
        <v>1096</v>
      </c>
      <c r="BT266" s="148">
        <v>1643000</v>
      </c>
      <c r="BU266" s="148">
        <v>2929000</v>
      </c>
      <c r="BV266" s="148">
        <v>3020000</v>
      </c>
      <c r="BW266" s="148" t="s">
        <v>1096</v>
      </c>
      <c r="BX266" s="154">
        <f>SUM(BS266:BW266)</f>
        <v>7592000</v>
      </c>
      <c r="BY266" s="143" t="e">
        <f>BI266/BS266</f>
        <v>#VALUE!</v>
      </c>
      <c r="BZ266" s="143" t="e">
        <f>BJ266/BT266</f>
        <v>#VALUE!</v>
      </c>
      <c r="CA266" s="143">
        <f>BK266/BU266</f>
        <v>3.7516558552406966E-2</v>
      </c>
      <c r="CB266" s="143">
        <f>BL266/BV266</f>
        <v>3.6975165562913907E-2</v>
      </c>
      <c r="CC266" s="143" t="e">
        <f>BM266/BW266</f>
        <v>#VALUE!</v>
      </c>
      <c r="CD266" s="143" t="e">
        <f>AVERAGE(BY266:CC266)</f>
        <v>#VALUE!</v>
      </c>
    </row>
    <row r="267" spans="1:82" ht="14.5">
      <c r="A267" s="143" t="s">
        <v>446</v>
      </c>
      <c r="B267" s="143"/>
      <c r="C267" s="144"/>
      <c r="D267" s="144" t="s">
        <v>1541</v>
      </c>
      <c r="E267" s="145" t="s">
        <v>1542</v>
      </c>
      <c r="F267" s="143" t="str">
        <f>SUBSTITUTE(E267," ","")</f>
        <v>21089566021</v>
      </c>
      <c r="G267" s="143" t="s">
        <v>454</v>
      </c>
      <c r="H267" s="143" t="s">
        <v>53</v>
      </c>
      <c r="I267" s="143">
        <v>4742</v>
      </c>
      <c r="J267" s="143">
        <v>-22.026659460000001</v>
      </c>
      <c r="K267" s="143">
        <v>148.2467613</v>
      </c>
      <c r="L267" s="143" t="s">
        <v>292</v>
      </c>
      <c r="M267" s="143" t="s">
        <v>292</v>
      </c>
      <c r="N267" s="143" t="s">
        <v>292</v>
      </c>
      <c r="O267" s="143"/>
      <c r="P267" s="173" t="s">
        <v>2080</v>
      </c>
      <c r="Q267" s="143" t="s">
        <v>29</v>
      </c>
      <c r="R267" s="143" t="s">
        <v>29</v>
      </c>
      <c r="S267" s="147"/>
      <c r="T267" s="143"/>
      <c r="U267" s="143"/>
      <c r="V267" s="143"/>
      <c r="W267" s="143"/>
      <c r="X267" s="143"/>
      <c r="Y267" s="143"/>
      <c r="Z267" s="143"/>
      <c r="AA267" s="143"/>
      <c r="AB267" s="143"/>
      <c r="AC267" s="143"/>
      <c r="AD267" s="153"/>
      <c r="AE267" s="153"/>
      <c r="AF267" s="143"/>
      <c r="AG267" s="155"/>
      <c r="AH267" s="147" t="s">
        <v>26</v>
      </c>
      <c r="AI267" s="146" t="s">
        <v>69</v>
      </c>
      <c r="AJ267" s="146" t="s">
        <v>1543</v>
      </c>
      <c r="AK267" s="146" t="s">
        <v>21</v>
      </c>
      <c r="AL267" s="143" t="s">
        <v>43</v>
      </c>
      <c r="AM267" s="143"/>
      <c r="AN267" s="143"/>
      <c r="AO267" s="143"/>
      <c r="AP267" s="152"/>
      <c r="AQ267" s="153"/>
      <c r="AR267" s="153"/>
      <c r="AS267" s="153"/>
      <c r="AT267" s="153"/>
      <c r="AU267" s="154"/>
      <c r="AV267" s="153" t="s">
        <v>1028</v>
      </c>
      <c r="AW267" s="153" t="s">
        <v>1028</v>
      </c>
      <c r="AX267" s="153" t="s">
        <v>1028</v>
      </c>
      <c r="AY267" s="153" t="s">
        <v>1028</v>
      </c>
      <c r="AZ267" s="153" t="s">
        <v>1028</v>
      </c>
      <c r="BA267" s="154" t="s">
        <v>114</v>
      </c>
      <c r="BB267" s="152">
        <v>207453</v>
      </c>
      <c r="BC267" s="153">
        <v>207453</v>
      </c>
      <c r="BD267" s="153">
        <v>207453</v>
      </c>
      <c r="BE267" s="153">
        <v>207453</v>
      </c>
      <c r="BF267" s="153">
        <v>207453</v>
      </c>
      <c r="BG267" s="157"/>
      <c r="BH267" s="155"/>
      <c r="BI267" s="152">
        <v>180722</v>
      </c>
      <c r="BJ267" s="153">
        <v>171929</v>
      </c>
      <c r="BK267" s="153" t="s">
        <v>920</v>
      </c>
      <c r="BL267" s="153" t="s">
        <v>920</v>
      </c>
      <c r="BM267" s="153" t="s">
        <v>920</v>
      </c>
      <c r="BN267" s="154">
        <f>SUMIF(BI267:BM267,"&gt;0",BI267:BM267)</f>
        <v>352651</v>
      </c>
      <c r="BO267" s="156"/>
      <c r="BP267" s="148">
        <v>233000</v>
      </c>
      <c r="BQ267" s="153">
        <v>234000</v>
      </c>
      <c r="BR267" s="153">
        <v>237000</v>
      </c>
      <c r="BS267" s="152">
        <v>3300000</v>
      </c>
      <c r="BT267" s="148">
        <v>1900000</v>
      </c>
      <c r="BU267" s="148">
        <v>600000</v>
      </c>
      <c r="BV267" s="148">
        <v>100000</v>
      </c>
      <c r="BW267" s="148">
        <v>0</v>
      </c>
      <c r="BX267" s="154">
        <f>SUM(BS267:BW267)</f>
        <v>5900000</v>
      </c>
      <c r="BY267" s="143">
        <f>BI267/BS267</f>
        <v>5.4764242424242424E-2</v>
      </c>
      <c r="BZ267" s="143">
        <f>BJ267/BT267</f>
        <v>9.0488947368421058E-2</v>
      </c>
      <c r="CA267" s="143" t="e">
        <f>BK267/BU267</f>
        <v>#VALUE!</v>
      </c>
      <c r="CB267" s="143" t="e">
        <f>BL267/BV267</f>
        <v>#VALUE!</v>
      </c>
      <c r="CC267" s="143" t="e">
        <f>BM267/BW267</f>
        <v>#VALUE!</v>
      </c>
      <c r="CD267" s="143" t="e">
        <f>AVERAGE(BY267:CC267)</f>
        <v>#VALUE!</v>
      </c>
    </row>
    <row r="268" spans="1:82" ht="14.5">
      <c r="A268" s="143" t="s">
        <v>417</v>
      </c>
      <c r="B268" s="143" t="s">
        <v>997</v>
      </c>
      <c r="C268" s="144" t="s">
        <v>1445</v>
      </c>
      <c r="D268" s="144" t="s">
        <v>1292</v>
      </c>
      <c r="E268" s="145" t="s">
        <v>1446</v>
      </c>
      <c r="F268" s="143" t="str">
        <f>SUBSTITUTE(E268," ","")</f>
        <v>87003004322</v>
      </c>
      <c r="G268" s="143" t="s">
        <v>292</v>
      </c>
      <c r="H268" s="173" t="s">
        <v>31</v>
      </c>
      <c r="I268" s="143" t="s">
        <v>292</v>
      </c>
      <c r="J268" s="143" t="s">
        <v>292</v>
      </c>
      <c r="K268" s="143" t="s">
        <v>292</v>
      </c>
      <c r="L268" s="143" t="s">
        <v>292</v>
      </c>
      <c r="M268" s="143" t="s">
        <v>292</v>
      </c>
      <c r="N268" s="143" t="s">
        <v>292</v>
      </c>
      <c r="O268" s="143"/>
      <c r="P268" s="143"/>
      <c r="Q268" s="143" t="s">
        <v>110</v>
      </c>
      <c r="R268" s="143" t="s">
        <v>58</v>
      </c>
      <c r="S268" s="147"/>
      <c r="T268" s="143"/>
      <c r="U268" s="143"/>
      <c r="V268" s="143"/>
      <c r="W268" s="143"/>
      <c r="X268" s="143"/>
      <c r="Y268" s="143"/>
      <c r="Z268" s="143"/>
      <c r="AA268" s="143"/>
      <c r="AB268" s="143"/>
      <c r="AC268" s="143"/>
      <c r="AD268" s="153"/>
      <c r="AE268" s="153"/>
      <c r="AF268" s="143"/>
      <c r="AG268" s="155"/>
      <c r="AH268" s="147" t="s">
        <v>26</v>
      </c>
      <c r="AI268" s="151" t="s">
        <v>76</v>
      </c>
      <c r="AJ268" s="146"/>
      <c r="AK268" s="146" t="s">
        <v>292</v>
      </c>
      <c r="AL268" s="146" t="s">
        <v>292</v>
      </c>
      <c r="AM268" s="143"/>
      <c r="AN268" s="143"/>
      <c r="AO268" s="143"/>
      <c r="AP268" s="152"/>
      <c r="AQ268" s="153"/>
      <c r="AR268" s="153"/>
      <c r="AS268" s="153"/>
      <c r="AT268" s="153"/>
      <c r="AU268" s="154"/>
      <c r="AV268" s="153" t="s">
        <v>1028</v>
      </c>
      <c r="AW268" s="153" t="s">
        <v>106</v>
      </c>
      <c r="AX268" s="153" t="s">
        <v>106</v>
      </c>
      <c r="AY268" s="153" t="s">
        <v>106</v>
      </c>
      <c r="AZ268" s="153" t="s">
        <v>106</v>
      </c>
      <c r="BA268" s="154" t="s">
        <v>114</v>
      </c>
      <c r="BB268" s="152">
        <v>528234</v>
      </c>
      <c r="BC268" s="153">
        <v>528234</v>
      </c>
      <c r="BD268" s="153">
        <v>528234</v>
      </c>
      <c r="BE268" s="157">
        <v>528234</v>
      </c>
      <c r="BF268" s="157">
        <v>528234</v>
      </c>
      <c r="BG268" s="157"/>
      <c r="BH268" s="155" t="s">
        <v>1447</v>
      </c>
      <c r="BI268" s="152">
        <v>351218</v>
      </c>
      <c r="BJ268" s="153">
        <v>344029</v>
      </c>
      <c r="BK268" s="153">
        <v>362579</v>
      </c>
      <c r="BL268" s="153">
        <v>347525</v>
      </c>
      <c r="BM268" s="153">
        <v>401980</v>
      </c>
      <c r="BN268" s="154">
        <f>SUMIF(BI268:BM268,"&gt;0",BI268:BM268)</f>
        <v>1807331</v>
      </c>
      <c r="BO268" s="156"/>
      <c r="BP268" s="148"/>
      <c r="BQ268" s="153"/>
      <c r="BR268" s="153"/>
      <c r="BS268" s="152"/>
      <c r="BT268" s="148"/>
      <c r="BU268" s="148"/>
      <c r="BV268" s="148"/>
      <c r="BW268" s="148"/>
      <c r="BX268" s="154">
        <f>SUM(BS268:BW268)</f>
        <v>0</v>
      </c>
      <c r="BY268" s="143"/>
      <c r="BZ268" s="143"/>
      <c r="CA268" s="143"/>
      <c r="CB268" s="143"/>
      <c r="CC268" s="143"/>
      <c r="CD268" s="259"/>
    </row>
    <row r="269" spans="1:82" ht="14.5">
      <c r="A269" s="143" t="s">
        <v>474</v>
      </c>
      <c r="B269" s="143" t="s">
        <v>1631</v>
      </c>
      <c r="C269" s="144" t="s">
        <v>1632</v>
      </c>
      <c r="D269" s="144" t="s">
        <v>1292</v>
      </c>
      <c r="E269" s="145" t="s">
        <v>1633</v>
      </c>
      <c r="F269" s="143" t="str">
        <f>SUBSTITUTE(E269," ","")</f>
        <v>607928790</v>
      </c>
      <c r="G269" s="143" t="s">
        <v>292</v>
      </c>
      <c r="H269" s="143" t="s">
        <v>292</v>
      </c>
      <c r="I269" s="143" t="s">
        <v>292</v>
      </c>
      <c r="J269" s="143" t="s">
        <v>292</v>
      </c>
      <c r="K269" s="143" t="s">
        <v>292</v>
      </c>
      <c r="L269" s="143" t="s">
        <v>292</v>
      </c>
      <c r="M269" s="143" t="s">
        <v>292</v>
      </c>
      <c r="N269" s="143" t="s">
        <v>292</v>
      </c>
      <c r="O269" s="143"/>
      <c r="P269" s="143"/>
      <c r="Q269" s="143" t="s">
        <v>110</v>
      </c>
      <c r="R269" s="143" t="s">
        <v>58</v>
      </c>
      <c r="S269" s="147"/>
      <c r="T269" s="143"/>
      <c r="U269" s="143"/>
      <c r="V269" s="143"/>
      <c r="W269" s="143"/>
      <c r="X269" s="143"/>
      <c r="Y269" s="143"/>
      <c r="Z269" s="143"/>
      <c r="AA269" s="143"/>
      <c r="AB269" s="143"/>
      <c r="AC269" s="143"/>
      <c r="AD269" s="153"/>
      <c r="AE269" s="153"/>
      <c r="AF269" s="143"/>
      <c r="AG269" s="155"/>
      <c r="AH269" s="147" t="s">
        <v>26</v>
      </c>
      <c r="AI269" s="151" t="s">
        <v>76</v>
      </c>
      <c r="AJ269" s="146"/>
      <c r="AK269" s="146" t="s">
        <v>292</v>
      </c>
      <c r="AL269" s="146" t="s">
        <v>292</v>
      </c>
      <c r="AM269" s="143"/>
      <c r="AN269" s="143"/>
      <c r="AO269" s="143"/>
      <c r="AP269" s="152" t="s">
        <v>26</v>
      </c>
      <c r="AQ269" s="153" t="s">
        <v>26</v>
      </c>
      <c r="AR269" s="160" t="str">
        <f>IF(BF269&gt;(BD269*1.1),"yes","no")</f>
        <v>no</v>
      </c>
      <c r="AS269" s="160" t="str">
        <f>IF(BM269&gt;(BK269*1.1),"yes","no")</f>
        <v>no</v>
      </c>
      <c r="AT269" s="160" t="str">
        <f>IF(BM269&gt;(BK269*1.1),"yes","no")</f>
        <v>no</v>
      </c>
      <c r="AU269" s="154">
        <v>0</v>
      </c>
      <c r="AV269" s="153" t="s">
        <v>114</v>
      </c>
      <c r="AW269" s="153" t="s">
        <v>114</v>
      </c>
      <c r="AX269" s="153" t="s">
        <v>66</v>
      </c>
      <c r="AY269" s="153" t="s">
        <v>66</v>
      </c>
      <c r="AZ269" s="153" t="s">
        <v>66</v>
      </c>
      <c r="BA269" s="154" t="s">
        <v>114</v>
      </c>
      <c r="BB269" s="152" t="s">
        <v>114</v>
      </c>
      <c r="BC269" s="153" t="s">
        <v>114</v>
      </c>
      <c r="BD269" s="157">
        <v>144910</v>
      </c>
      <c r="BE269" s="157">
        <v>145307</v>
      </c>
      <c r="BF269" s="157">
        <v>146144</v>
      </c>
      <c r="BG269" s="157"/>
      <c r="BH269" s="155"/>
      <c r="BI269" s="152" t="s">
        <v>920</v>
      </c>
      <c r="BJ269" s="153" t="s">
        <v>920</v>
      </c>
      <c r="BK269" s="153">
        <v>162441</v>
      </c>
      <c r="BL269" s="153">
        <v>123189</v>
      </c>
      <c r="BM269" s="153">
        <v>99288</v>
      </c>
      <c r="BN269" s="154">
        <f>SUMIF(BI269:BM269,"&gt;0",BI269:BM269)</f>
        <v>384918</v>
      </c>
      <c r="BO269" s="156">
        <v>103462</v>
      </c>
      <c r="BP269" s="148">
        <v>103462</v>
      </c>
      <c r="BQ269" s="153">
        <v>103462</v>
      </c>
      <c r="BR269" s="153">
        <v>103462</v>
      </c>
      <c r="BS269" s="152"/>
      <c r="BT269" s="148"/>
      <c r="BU269" s="148"/>
      <c r="BV269" s="148"/>
      <c r="BW269" s="148"/>
      <c r="BX269" s="154">
        <f>SUM(BS269:BW269)</f>
        <v>0</v>
      </c>
      <c r="BY269" s="143"/>
      <c r="BZ269" s="143"/>
      <c r="CA269" s="143"/>
      <c r="CB269" s="143"/>
      <c r="CC269" s="143"/>
      <c r="CD269" s="143"/>
    </row>
    <row r="270" spans="1:82" ht="14.5">
      <c r="A270" s="143" t="s">
        <v>373</v>
      </c>
      <c r="B270" s="143" t="s">
        <v>1290</v>
      </c>
      <c r="C270" s="144" t="s">
        <v>1291</v>
      </c>
      <c r="D270" s="144" t="s">
        <v>1292</v>
      </c>
      <c r="E270" s="145" t="s">
        <v>1293</v>
      </c>
      <c r="F270" s="143" t="str">
        <f>SUBSTITUTE(E270," ","")</f>
        <v>15068570847</v>
      </c>
      <c r="G270" s="143" t="s">
        <v>292</v>
      </c>
      <c r="H270" s="143" t="s">
        <v>292</v>
      </c>
      <c r="I270" s="143" t="s">
        <v>292</v>
      </c>
      <c r="J270" s="143" t="s">
        <v>292</v>
      </c>
      <c r="K270" s="143" t="s">
        <v>292</v>
      </c>
      <c r="L270" s="143" t="s">
        <v>292</v>
      </c>
      <c r="M270" s="143" t="s">
        <v>292</v>
      </c>
      <c r="N270" s="143" t="s">
        <v>292</v>
      </c>
      <c r="O270" s="143"/>
      <c r="P270" s="143"/>
      <c r="Q270" s="143" t="s">
        <v>110</v>
      </c>
      <c r="R270" s="143" t="s">
        <v>58</v>
      </c>
      <c r="S270" s="147"/>
      <c r="T270" s="143"/>
      <c r="U270" s="143"/>
      <c r="V270" s="143"/>
      <c r="W270" s="143"/>
      <c r="X270" s="143"/>
      <c r="Y270" s="143"/>
      <c r="Z270" s="143"/>
      <c r="AA270" s="143"/>
      <c r="AB270" s="143"/>
      <c r="AC270" s="143"/>
      <c r="AD270" s="153"/>
      <c r="AE270" s="153"/>
      <c r="AF270" s="143"/>
      <c r="AG270" s="155"/>
      <c r="AH270" s="147" t="s">
        <v>26</v>
      </c>
      <c r="AI270" s="151" t="s">
        <v>76</v>
      </c>
      <c r="AJ270" s="146"/>
      <c r="AK270" s="146" t="s">
        <v>292</v>
      </c>
      <c r="AL270" s="146" t="s">
        <v>292</v>
      </c>
      <c r="AM270" s="143"/>
      <c r="AN270" s="143"/>
      <c r="AO270" s="143"/>
      <c r="AP270" s="152"/>
      <c r="AQ270" s="153"/>
      <c r="AR270" s="153"/>
      <c r="AS270" s="153"/>
      <c r="AT270" s="153"/>
      <c r="AU270" s="154"/>
      <c r="AV270" s="153" t="s">
        <v>41</v>
      </c>
      <c r="AW270" s="153" t="s">
        <v>41</v>
      </c>
      <c r="AX270" s="153" t="s">
        <v>41</v>
      </c>
      <c r="AY270" s="153" t="s">
        <v>41</v>
      </c>
      <c r="AZ270" s="153" t="s">
        <v>114</v>
      </c>
      <c r="BA270" s="154" t="s">
        <v>114</v>
      </c>
      <c r="BB270" s="152">
        <v>153846</v>
      </c>
      <c r="BC270" s="153">
        <v>153846</v>
      </c>
      <c r="BD270" s="153">
        <v>153846</v>
      </c>
      <c r="BE270" s="157">
        <v>153846</v>
      </c>
      <c r="BF270" s="157" t="s">
        <v>114</v>
      </c>
      <c r="BG270" s="157"/>
      <c r="BH270" s="155" t="s">
        <v>1294</v>
      </c>
      <c r="BI270" s="152">
        <v>142269</v>
      </c>
      <c r="BJ270" s="153">
        <v>125567</v>
      </c>
      <c r="BK270" s="153" t="s">
        <v>920</v>
      </c>
      <c r="BL270" s="153" t="s">
        <v>920</v>
      </c>
      <c r="BM270" s="153" t="s">
        <v>920</v>
      </c>
      <c r="BN270" s="154">
        <f>SUMIF(BI270:BM270,"&gt;0",BI270:BM270)</f>
        <v>267836</v>
      </c>
      <c r="BO270" s="156"/>
      <c r="BP270" s="148"/>
      <c r="BQ270" s="153"/>
      <c r="BR270" s="153"/>
      <c r="BS270" s="152"/>
      <c r="BT270" s="148"/>
      <c r="BU270" s="148"/>
      <c r="BV270" s="148"/>
      <c r="BW270" s="148"/>
      <c r="BX270" s="154">
        <f>SUM(BS270:BW270)</f>
        <v>0</v>
      </c>
      <c r="BY270" s="143"/>
      <c r="BZ270" s="143"/>
      <c r="CA270" s="143"/>
      <c r="CB270" s="143"/>
      <c r="CC270" s="143"/>
      <c r="CD270" s="259"/>
    </row>
    <row r="271" spans="1:82" ht="14.5">
      <c r="A271" s="143" t="s">
        <v>468</v>
      </c>
      <c r="B271" s="143" t="s">
        <v>1616</v>
      </c>
      <c r="C271" s="144" t="s">
        <v>1617</v>
      </c>
      <c r="D271" s="159" t="s">
        <v>1301</v>
      </c>
      <c r="E271" s="145" t="s">
        <v>1302</v>
      </c>
      <c r="F271" s="143" t="str">
        <f>SUBSTITUTE(E271," ","")</f>
        <v>18002658255</v>
      </c>
      <c r="G271" s="143" t="s">
        <v>1618</v>
      </c>
      <c r="H271" s="143" t="s">
        <v>31</v>
      </c>
      <c r="I271" s="143">
        <v>2234</v>
      </c>
      <c r="J271" s="143">
        <v>-34.043269000000002</v>
      </c>
      <c r="K271" s="143">
        <v>150.96992</v>
      </c>
      <c r="L271" s="143" t="s">
        <v>292</v>
      </c>
      <c r="M271" s="143" t="s">
        <v>292</v>
      </c>
      <c r="N271" s="143" t="s">
        <v>292</v>
      </c>
      <c r="O271" s="143"/>
      <c r="P271" s="143"/>
      <c r="Q271" s="143" t="s">
        <v>287</v>
      </c>
      <c r="R271" s="143" t="s">
        <v>85</v>
      </c>
      <c r="S271" s="147"/>
      <c r="T271" s="143"/>
      <c r="U271" s="143"/>
      <c r="V271" s="143"/>
      <c r="W271" s="143"/>
      <c r="X271" s="143"/>
      <c r="Y271" s="143"/>
      <c r="Z271" s="143"/>
      <c r="AA271" s="143"/>
      <c r="AB271" s="143"/>
      <c r="AC271" s="143"/>
      <c r="AD271" s="153"/>
      <c r="AE271" s="153"/>
      <c r="AF271" s="143"/>
      <c r="AG271" s="155"/>
      <c r="AH271" s="150" t="s">
        <v>37</v>
      </c>
      <c r="AI271" s="151" t="s">
        <v>76</v>
      </c>
      <c r="AJ271" s="151" t="s">
        <v>70</v>
      </c>
      <c r="AK271" s="151" t="s">
        <v>70</v>
      </c>
      <c r="AL271" s="151" t="s">
        <v>118</v>
      </c>
      <c r="AM271" s="151" t="s">
        <v>70</v>
      </c>
      <c r="AN271" s="151" t="s">
        <v>70</v>
      </c>
      <c r="AO271" s="151" t="s">
        <v>70</v>
      </c>
      <c r="AP271" s="152"/>
      <c r="AQ271" s="153"/>
      <c r="AR271" s="153"/>
      <c r="AS271" s="153"/>
      <c r="AT271" s="153"/>
      <c r="AU271" s="154"/>
      <c r="AV271" s="153" t="s">
        <v>106</v>
      </c>
      <c r="AW271" s="153" t="s">
        <v>106</v>
      </c>
      <c r="AX271" s="153" t="s">
        <v>106</v>
      </c>
      <c r="AY271" s="153" t="s">
        <v>106</v>
      </c>
      <c r="AZ271" s="153" t="s">
        <v>106</v>
      </c>
      <c r="BA271" s="154" t="s">
        <v>114</v>
      </c>
      <c r="BB271" s="152">
        <v>227315</v>
      </c>
      <c r="BC271" s="153">
        <v>227315</v>
      </c>
      <c r="BD271" s="153">
        <v>227315</v>
      </c>
      <c r="BE271" s="153">
        <v>227315</v>
      </c>
      <c r="BF271" s="157">
        <v>253528</v>
      </c>
      <c r="BG271" s="157"/>
      <c r="BH271" s="155"/>
      <c r="BI271" s="152" t="s">
        <v>920</v>
      </c>
      <c r="BJ271" s="153" t="s">
        <v>920</v>
      </c>
      <c r="BK271" s="153" t="s">
        <v>920</v>
      </c>
      <c r="BL271" s="153" t="s">
        <v>920</v>
      </c>
      <c r="BM271" s="153">
        <v>127540</v>
      </c>
      <c r="BN271" s="154">
        <f>SUMIF(BI271:BM271,"&gt;0",BI271:BM271)</f>
        <v>127540</v>
      </c>
      <c r="BO271" s="156"/>
      <c r="BP271" s="148"/>
      <c r="BQ271" s="153"/>
      <c r="BR271" s="153"/>
      <c r="BS271" s="152"/>
      <c r="BT271" s="148"/>
      <c r="BU271" s="148"/>
      <c r="BV271" s="148"/>
      <c r="BW271" s="148"/>
      <c r="BX271" s="154">
        <f>SUM(BS271:BW271)</f>
        <v>0</v>
      </c>
      <c r="BY271" s="143"/>
      <c r="BZ271" s="143"/>
      <c r="CA271" s="143"/>
      <c r="CB271" s="143"/>
      <c r="CC271" s="143"/>
      <c r="CD271" s="143"/>
    </row>
    <row r="272" spans="1:82" ht="14.5">
      <c r="A272" s="143" t="s">
        <v>376</v>
      </c>
      <c r="B272" s="143" t="s">
        <v>1299</v>
      </c>
      <c r="C272" s="144" t="s">
        <v>1300</v>
      </c>
      <c r="D272" s="144" t="s">
        <v>1301</v>
      </c>
      <c r="E272" s="145" t="s">
        <v>1302</v>
      </c>
      <c r="F272" s="143" t="str">
        <f>SUBSTITUTE(E272," ","")</f>
        <v>18002658255</v>
      </c>
      <c r="G272" s="143" t="s">
        <v>1303</v>
      </c>
      <c r="H272" s="143" t="s">
        <v>31</v>
      </c>
      <c r="I272" s="143">
        <v>2555</v>
      </c>
      <c r="J272" s="143">
        <v>-33.865177000000003</v>
      </c>
      <c r="K272" s="143">
        <v>150.75808499999999</v>
      </c>
      <c r="L272" s="143" t="s">
        <v>292</v>
      </c>
      <c r="M272" s="143" t="s">
        <v>292</v>
      </c>
      <c r="N272" s="143" t="s">
        <v>292</v>
      </c>
      <c r="O272" s="143"/>
      <c r="P272" s="143"/>
      <c r="Q272" s="143" t="s">
        <v>287</v>
      </c>
      <c r="R272" s="143" t="s">
        <v>85</v>
      </c>
      <c r="S272" s="147"/>
      <c r="T272" s="143"/>
      <c r="U272" s="143"/>
      <c r="V272" s="143"/>
      <c r="W272" s="143"/>
      <c r="X272" s="143"/>
      <c r="Y272" s="143"/>
      <c r="Z272" s="143"/>
      <c r="AA272" s="143"/>
      <c r="AB272" s="143"/>
      <c r="AC272" s="143"/>
      <c r="AD272" s="153"/>
      <c r="AE272" s="153"/>
      <c r="AF272" s="143"/>
      <c r="AG272" s="155"/>
      <c r="AH272" s="150" t="s">
        <v>37</v>
      </c>
      <c r="AI272" s="151" t="s">
        <v>76</v>
      </c>
      <c r="AJ272" s="151" t="s">
        <v>70</v>
      </c>
      <c r="AK272" s="151" t="s">
        <v>70</v>
      </c>
      <c r="AL272" s="151" t="s">
        <v>118</v>
      </c>
      <c r="AM272" s="151" t="s">
        <v>70</v>
      </c>
      <c r="AN272" s="151" t="s">
        <v>70</v>
      </c>
      <c r="AO272" s="151" t="s">
        <v>70</v>
      </c>
      <c r="AP272" s="152"/>
      <c r="AQ272" s="153"/>
      <c r="AR272" s="153"/>
      <c r="AS272" s="153"/>
      <c r="AT272" s="153"/>
      <c r="AU272" s="154"/>
      <c r="AV272" s="153" t="s">
        <v>106</v>
      </c>
      <c r="AW272" s="153" t="s">
        <v>106</v>
      </c>
      <c r="AX272" s="153" t="s">
        <v>106</v>
      </c>
      <c r="AY272" s="153" t="s">
        <v>106</v>
      </c>
      <c r="AZ272" s="153" t="s">
        <v>106</v>
      </c>
      <c r="BA272" s="154" t="s">
        <v>114</v>
      </c>
      <c r="BB272" s="152">
        <v>157424</v>
      </c>
      <c r="BC272" s="153">
        <v>157424</v>
      </c>
      <c r="BD272" s="153">
        <v>157424</v>
      </c>
      <c r="BE272" s="153">
        <v>157424</v>
      </c>
      <c r="BF272" s="153">
        <v>176057</v>
      </c>
      <c r="BG272" s="157"/>
      <c r="BH272" s="155"/>
      <c r="BI272" s="152" t="s">
        <v>920</v>
      </c>
      <c r="BJ272" s="153" t="s">
        <v>920</v>
      </c>
      <c r="BK272" s="153" t="s">
        <v>920</v>
      </c>
      <c r="BL272" s="153" t="s">
        <v>920</v>
      </c>
      <c r="BM272" s="153" t="s">
        <v>920</v>
      </c>
      <c r="BN272" s="154">
        <f>SUMIF(BI272:BM272,"&gt;0",BI272:BM272)</f>
        <v>0</v>
      </c>
      <c r="BO272" s="156"/>
      <c r="BP272" s="148"/>
      <c r="BQ272" s="153"/>
      <c r="BR272" s="153"/>
      <c r="BS272" s="152"/>
      <c r="BT272" s="148"/>
      <c r="BU272" s="148"/>
      <c r="BV272" s="148"/>
      <c r="BW272" s="148"/>
      <c r="BX272" s="154">
        <f>SUM(BS272:BW272)</f>
        <v>0</v>
      </c>
      <c r="BY272" s="143"/>
      <c r="BZ272" s="143"/>
      <c r="CA272" s="143"/>
      <c r="CB272" s="143"/>
      <c r="CC272" s="143"/>
      <c r="CD272" s="259"/>
    </row>
    <row r="273" spans="1:82" ht="14.5">
      <c r="A273" s="143" t="s">
        <v>408</v>
      </c>
      <c r="B273" s="143" t="s">
        <v>1408</v>
      </c>
      <c r="C273" s="144" t="s">
        <v>1300</v>
      </c>
      <c r="D273" s="159" t="s">
        <v>1301</v>
      </c>
      <c r="E273" s="145" t="s">
        <v>1302</v>
      </c>
      <c r="F273" s="143" t="str">
        <f>SUBSTITUTE(E273," ","")</f>
        <v>18002658255</v>
      </c>
      <c r="G273" s="143" t="s">
        <v>1409</v>
      </c>
      <c r="H273" s="143" t="s">
        <v>74</v>
      </c>
      <c r="I273" s="143">
        <v>3976</v>
      </c>
      <c r="J273" s="143">
        <v>-38.054941999999997</v>
      </c>
      <c r="K273" s="143">
        <v>145.27448100000001</v>
      </c>
      <c r="L273" s="143" t="s">
        <v>292</v>
      </c>
      <c r="M273" s="143" t="s">
        <v>292</v>
      </c>
      <c r="N273" s="143" t="s">
        <v>292</v>
      </c>
      <c r="O273" s="143"/>
      <c r="P273" s="143"/>
      <c r="Q273" s="143" t="s">
        <v>287</v>
      </c>
      <c r="R273" s="143" t="s">
        <v>85</v>
      </c>
      <c r="S273" s="147" t="s">
        <v>612</v>
      </c>
      <c r="T273" s="143">
        <v>1</v>
      </c>
      <c r="U273" s="143" t="s">
        <v>1410</v>
      </c>
      <c r="V273" s="143" t="s">
        <v>1411</v>
      </c>
      <c r="W273" s="143" t="s">
        <v>1412</v>
      </c>
      <c r="X273" s="143" t="s">
        <v>85</v>
      </c>
      <c r="Y273" s="143" t="s">
        <v>1413</v>
      </c>
      <c r="Z273" s="143" t="s">
        <v>1286</v>
      </c>
      <c r="AA273" s="143" t="s">
        <v>1414</v>
      </c>
      <c r="AB273" s="153">
        <v>2194788</v>
      </c>
      <c r="AC273" s="153" t="s">
        <v>1415</v>
      </c>
      <c r="AD273" s="153">
        <f>3526278/4</f>
        <v>881569.5</v>
      </c>
      <c r="AE273" s="153">
        <f>3526278/4</f>
        <v>881569.5</v>
      </c>
      <c r="AF273" s="143" t="s">
        <v>1045</v>
      </c>
      <c r="AG273" s="155" t="s">
        <v>1416</v>
      </c>
      <c r="AH273" s="150" t="s">
        <v>37</v>
      </c>
      <c r="AI273" s="151" t="s">
        <v>76</v>
      </c>
      <c r="AJ273" s="151" t="s">
        <v>70</v>
      </c>
      <c r="AK273" s="151" t="s">
        <v>70</v>
      </c>
      <c r="AL273" s="151" t="s">
        <v>118</v>
      </c>
      <c r="AM273" s="151" t="s">
        <v>70</v>
      </c>
      <c r="AN273" s="151" t="s">
        <v>70</v>
      </c>
      <c r="AO273" s="151" t="s">
        <v>70</v>
      </c>
      <c r="AP273" s="152"/>
      <c r="AQ273" s="153"/>
      <c r="AR273" s="153"/>
      <c r="AS273" s="153"/>
      <c r="AT273" s="153"/>
      <c r="AU273" s="154"/>
      <c r="AV273" s="153" t="s">
        <v>106</v>
      </c>
      <c r="AW273" s="153" t="s">
        <v>106</v>
      </c>
      <c r="AX273" s="153" t="s">
        <v>106</v>
      </c>
      <c r="AY273" s="153" t="s">
        <v>106</v>
      </c>
      <c r="AZ273" s="153" t="s">
        <v>106</v>
      </c>
      <c r="BA273" s="154" t="s">
        <v>114</v>
      </c>
      <c r="BB273" s="152">
        <v>125896</v>
      </c>
      <c r="BC273" s="153">
        <v>125896</v>
      </c>
      <c r="BD273" s="153">
        <v>125896</v>
      </c>
      <c r="BE273" s="153">
        <v>125896</v>
      </c>
      <c r="BF273" s="153">
        <v>140745</v>
      </c>
      <c r="BG273" s="157"/>
      <c r="BH273" s="155"/>
      <c r="BI273" s="152" t="s">
        <v>920</v>
      </c>
      <c r="BJ273" s="153" t="s">
        <v>920</v>
      </c>
      <c r="BK273" s="153" t="s">
        <v>920</v>
      </c>
      <c r="BL273" s="153" t="s">
        <v>920</v>
      </c>
      <c r="BM273" s="153" t="s">
        <v>920</v>
      </c>
      <c r="BN273" s="154">
        <f>SUMIF(BI273:BM273,"&gt;0",BI273:BM273)</f>
        <v>0</v>
      </c>
      <c r="BO273" s="156"/>
      <c r="BP273" s="148"/>
      <c r="BQ273" s="153"/>
      <c r="BR273" s="153"/>
      <c r="BS273" s="152"/>
      <c r="BT273" s="148"/>
      <c r="BU273" s="148"/>
      <c r="BV273" s="148"/>
      <c r="BW273" s="148"/>
      <c r="BX273" s="154">
        <f>SUM(BS273:BW273)</f>
        <v>0</v>
      </c>
      <c r="BY273" s="143"/>
      <c r="BZ273" s="143"/>
      <c r="CA273" s="143"/>
      <c r="CB273" s="143"/>
      <c r="CC273" s="143"/>
      <c r="CD273" s="143"/>
    </row>
    <row r="274" spans="1:82" ht="14.5">
      <c r="A274" s="143" t="s">
        <v>571</v>
      </c>
      <c r="B274" s="143" t="s">
        <v>1973</v>
      </c>
      <c r="C274" s="144" t="s">
        <v>827</v>
      </c>
      <c r="D274" s="144" t="s">
        <v>1974</v>
      </c>
      <c r="E274" s="145" t="s">
        <v>828</v>
      </c>
      <c r="F274" s="143" t="str">
        <f>SUBSTITUTE(E274," ","")</f>
        <v>39061996174</v>
      </c>
      <c r="G274" s="143" t="s">
        <v>1975</v>
      </c>
      <c r="H274" s="143" t="s">
        <v>74</v>
      </c>
      <c r="I274" s="143">
        <v>3207</v>
      </c>
      <c r="J274" s="143">
        <v>-37.841701</v>
      </c>
      <c r="K274" s="143">
        <v>144.93155100000001</v>
      </c>
      <c r="L274" s="143" t="s">
        <v>292</v>
      </c>
      <c r="M274" s="143" t="s">
        <v>292</v>
      </c>
      <c r="N274" s="143" t="s">
        <v>292</v>
      </c>
      <c r="O274" s="143"/>
      <c r="P274" s="143"/>
      <c r="Q274" s="143" t="s">
        <v>283</v>
      </c>
      <c r="R274" s="143" t="s">
        <v>79</v>
      </c>
      <c r="S274" s="147"/>
      <c r="T274" s="143"/>
      <c r="U274" s="143"/>
      <c r="V274" s="143"/>
      <c r="W274" s="143"/>
      <c r="X274" s="143"/>
      <c r="Y274" s="143"/>
      <c r="Z274" s="143"/>
      <c r="AA274" s="143"/>
      <c r="AB274" s="143"/>
      <c r="AC274" s="143"/>
      <c r="AD274" s="153"/>
      <c r="AE274" s="153"/>
      <c r="AF274" s="143"/>
      <c r="AG274" s="155"/>
      <c r="AH274" s="150" t="s">
        <v>37</v>
      </c>
      <c r="AI274" s="151" t="s">
        <v>76</v>
      </c>
      <c r="AJ274" s="151" t="s">
        <v>70</v>
      </c>
      <c r="AK274" s="151" t="s">
        <v>70</v>
      </c>
      <c r="AL274" s="151" t="s">
        <v>118</v>
      </c>
      <c r="AM274" s="151" t="s">
        <v>70</v>
      </c>
      <c r="AN274" s="151" t="s">
        <v>70</v>
      </c>
      <c r="AO274" s="151" t="s">
        <v>70</v>
      </c>
      <c r="AP274" s="152" t="s">
        <v>26</v>
      </c>
      <c r="AQ274" s="153" t="s">
        <v>26</v>
      </c>
      <c r="AR274" s="160" t="str">
        <f>IF(BF274&gt;(BD274*1.1),"yes","no")</f>
        <v>no</v>
      </c>
      <c r="AS274" s="160" t="str">
        <f>IF(BM274&gt;(BJ274*1.1),"yes","no")</f>
        <v>no</v>
      </c>
      <c r="AT274" s="160" t="str">
        <f>IF(BM274&gt;(BI274*1.1),"yes","no")</f>
        <v>no</v>
      </c>
      <c r="AU274" s="154">
        <v>0</v>
      </c>
      <c r="AV274" s="153" t="s">
        <v>1028</v>
      </c>
      <c r="AW274" s="153" t="s">
        <v>106</v>
      </c>
      <c r="AX274" s="153" t="s">
        <v>108</v>
      </c>
      <c r="AY274" s="153" t="s">
        <v>108</v>
      </c>
      <c r="AZ274" s="153" t="s">
        <v>80</v>
      </c>
      <c r="BA274" s="154" t="s">
        <v>73</v>
      </c>
      <c r="BB274" s="152">
        <v>152460</v>
      </c>
      <c r="BC274" s="153">
        <v>152460</v>
      </c>
      <c r="BD274" s="153">
        <v>152460</v>
      </c>
      <c r="BE274" s="157">
        <v>152878</v>
      </c>
      <c r="BF274" s="157">
        <v>161416</v>
      </c>
      <c r="BG274" s="157"/>
      <c r="BH274" s="155"/>
      <c r="BI274" s="152">
        <v>160099</v>
      </c>
      <c r="BJ274" s="153">
        <v>162876</v>
      </c>
      <c r="BK274" s="153">
        <v>165032</v>
      </c>
      <c r="BL274" s="153">
        <v>145819</v>
      </c>
      <c r="BM274" s="153">
        <v>129262</v>
      </c>
      <c r="BN274" s="154">
        <f>SUMIF(BI274:BM274,"&gt;0",BI274:BM274)</f>
        <v>763088</v>
      </c>
      <c r="BO274" s="156"/>
      <c r="BP274" s="148"/>
      <c r="BQ274" s="153"/>
      <c r="BR274" s="153"/>
      <c r="BS274" s="152"/>
      <c r="BT274" s="148"/>
      <c r="BU274" s="148"/>
      <c r="BV274" s="148"/>
      <c r="BW274" s="148"/>
      <c r="BX274" s="154">
        <f>SUM(BS274:BW274)</f>
        <v>0</v>
      </c>
      <c r="BY274" s="143"/>
      <c r="BZ274" s="143"/>
      <c r="CA274" s="143"/>
      <c r="CB274" s="143"/>
      <c r="CC274" s="143"/>
      <c r="CD274" s="143"/>
    </row>
    <row r="275" spans="1:82" ht="14.5">
      <c r="A275" s="143" t="s">
        <v>322</v>
      </c>
      <c r="B275" s="143" t="s">
        <v>1134</v>
      </c>
      <c r="C275" s="144" t="s">
        <v>1135</v>
      </c>
      <c r="D275" s="144" t="s">
        <v>1136</v>
      </c>
      <c r="E275" s="145" t="s">
        <v>1137</v>
      </c>
      <c r="F275" s="143" t="str">
        <f>SUBSTITUTE(E275," ","")</f>
        <v>74010542140</v>
      </c>
      <c r="G275" s="143" t="s">
        <v>1138</v>
      </c>
      <c r="H275" s="143" t="s">
        <v>53</v>
      </c>
      <c r="I275" s="143">
        <v>4721</v>
      </c>
      <c r="J275" s="143">
        <v>-22.688151999999999</v>
      </c>
      <c r="K275" s="143">
        <v>147.518598</v>
      </c>
      <c r="L275" s="143" t="s">
        <v>292</v>
      </c>
      <c r="M275" s="143" t="s">
        <v>292</v>
      </c>
      <c r="N275" s="143" t="s">
        <v>292</v>
      </c>
      <c r="O275" s="143"/>
      <c r="P275" s="143"/>
      <c r="Q275" s="143" t="s">
        <v>29</v>
      </c>
      <c r="R275" s="143" t="s">
        <v>29</v>
      </c>
      <c r="S275" s="147"/>
      <c r="T275" s="143"/>
      <c r="U275" s="143"/>
      <c r="V275" s="143"/>
      <c r="W275" s="143"/>
      <c r="X275" s="143"/>
      <c r="Y275" s="143"/>
      <c r="Z275" s="143"/>
      <c r="AA275" s="143"/>
      <c r="AB275" s="143"/>
      <c r="AC275" s="143"/>
      <c r="AD275" s="153"/>
      <c r="AE275" s="153"/>
      <c r="AF275" s="143"/>
      <c r="AG275" s="155"/>
      <c r="AH275" s="147" t="s">
        <v>26</v>
      </c>
      <c r="AI275" s="146" t="s">
        <v>36</v>
      </c>
      <c r="AJ275" s="146" t="s">
        <v>1111</v>
      </c>
      <c r="AK275" s="146" t="s">
        <v>21</v>
      </c>
      <c r="AL275" s="146" t="s">
        <v>43</v>
      </c>
      <c r="AM275" s="143"/>
      <c r="AN275" s="143"/>
      <c r="AO275" s="143"/>
      <c r="AP275" s="152"/>
      <c r="AQ275" s="153"/>
      <c r="AR275" s="153"/>
      <c r="AS275" s="153"/>
      <c r="AT275" s="153"/>
      <c r="AU275" s="154"/>
      <c r="AV275" s="153" t="s">
        <v>106</v>
      </c>
      <c r="AW275" s="153" t="s">
        <v>106</v>
      </c>
      <c r="AX275" s="153" t="s">
        <v>106</v>
      </c>
      <c r="AY275" s="153" t="s">
        <v>106</v>
      </c>
      <c r="AZ275" s="153" t="s">
        <v>106</v>
      </c>
      <c r="BA275" s="154" t="s">
        <v>114</v>
      </c>
      <c r="BB275" s="152">
        <v>229743</v>
      </c>
      <c r="BC275" s="153">
        <v>229743</v>
      </c>
      <c r="BD275" s="153">
        <v>229743</v>
      </c>
      <c r="BE275" s="153">
        <v>229743</v>
      </c>
      <c r="BF275" s="153">
        <v>229743</v>
      </c>
      <c r="BG275" s="157"/>
      <c r="BH275" s="155"/>
      <c r="BI275" s="152" t="s">
        <v>920</v>
      </c>
      <c r="BJ275" s="153" t="s">
        <v>920</v>
      </c>
      <c r="BK275" s="153" t="s">
        <v>920</v>
      </c>
      <c r="BL275" s="153" t="s">
        <v>920</v>
      </c>
      <c r="BM275" s="153" t="s">
        <v>920</v>
      </c>
      <c r="BN275" s="154">
        <f>SUMIF(BI275:BM275,"&gt;0",BI275:BM275)</f>
        <v>0</v>
      </c>
      <c r="BO275" s="156"/>
      <c r="BP275" s="148"/>
      <c r="BQ275" s="153"/>
      <c r="BR275" s="153"/>
      <c r="BS275" s="152" t="s">
        <v>1096</v>
      </c>
      <c r="BT275" s="165">
        <v>1575000</v>
      </c>
      <c r="BU275" s="165">
        <v>2647000</v>
      </c>
      <c r="BV275" s="165">
        <v>3052000</v>
      </c>
      <c r="BW275" s="165">
        <v>2555000</v>
      </c>
      <c r="BX275" s="154">
        <f>SUM(BS275:BW275)</f>
        <v>9829000</v>
      </c>
      <c r="BY275" s="143" t="e">
        <f>BI275/BS275</f>
        <v>#VALUE!</v>
      </c>
      <c r="BZ275" s="143" t="e">
        <f>BJ275/BT275</f>
        <v>#VALUE!</v>
      </c>
      <c r="CA275" s="143" t="e">
        <f>BK275/BU275</f>
        <v>#VALUE!</v>
      </c>
      <c r="CB275" s="143" t="e">
        <f>BL275/BV275</f>
        <v>#VALUE!</v>
      </c>
      <c r="CC275" s="143" t="e">
        <f>BM275/BW275</f>
        <v>#VALUE!</v>
      </c>
      <c r="CD275" s="259" t="e">
        <f>AVERAGE(BY275:CC275)</f>
        <v>#VALUE!</v>
      </c>
    </row>
    <row r="276" spans="1:82" ht="14.5">
      <c r="A276" s="143" t="s">
        <v>425</v>
      </c>
      <c r="B276" s="143"/>
      <c r="C276" s="144" t="s">
        <v>647</v>
      </c>
      <c r="D276" s="144" t="s">
        <v>1205</v>
      </c>
      <c r="E276" s="145" t="s">
        <v>648</v>
      </c>
      <c r="F276" s="143" t="str">
        <f>SUBSTITUTE(E276," ","")</f>
        <v>59009343364</v>
      </c>
      <c r="G276" s="143" t="s">
        <v>1237</v>
      </c>
      <c r="H276" s="143" t="s">
        <v>81</v>
      </c>
      <c r="I276" s="143">
        <v>6167</v>
      </c>
      <c r="J276" s="143">
        <v>-32.227120999999997</v>
      </c>
      <c r="K276" s="143">
        <v>115.77518000000001</v>
      </c>
      <c r="L276" s="143">
        <v>1988</v>
      </c>
      <c r="M276" s="143">
        <v>34</v>
      </c>
      <c r="N276" s="143">
        <v>0</v>
      </c>
      <c r="O276" s="143"/>
      <c r="P276" s="143"/>
      <c r="Q276" s="143" t="s">
        <v>139</v>
      </c>
      <c r="R276" s="143" t="s">
        <v>72</v>
      </c>
      <c r="S276" s="147"/>
      <c r="T276" s="143"/>
      <c r="U276" s="143"/>
      <c r="V276" s="143"/>
      <c r="W276" s="143"/>
      <c r="X276" s="143"/>
      <c r="Y276" s="143"/>
      <c r="Z276" s="143"/>
      <c r="AA276" s="143"/>
      <c r="AB276" s="143"/>
      <c r="AC276" s="143"/>
      <c r="AD276" s="153"/>
      <c r="AE276" s="153"/>
      <c r="AF276" s="143"/>
      <c r="AG276" s="155"/>
      <c r="AH276" s="150" t="s">
        <v>37</v>
      </c>
      <c r="AI276" s="151" t="s">
        <v>76</v>
      </c>
      <c r="AJ276" s="151" t="s">
        <v>70</v>
      </c>
      <c r="AK276" s="151" t="s">
        <v>70</v>
      </c>
      <c r="AL276" s="151" t="s">
        <v>118</v>
      </c>
      <c r="AM276" s="151" t="s">
        <v>70</v>
      </c>
      <c r="AN276" s="151" t="s">
        <v>70</v>
      </c>
      <c r="AO276" s="151" t="s">
        <v>70</v>
      </c>
      <c r="AP276" s="152"/>
      <c r="AQ276" s="153"/>
      <c r="AR276" s="153"/>
      <c r="AS276" s="153"/>
      <c r="AT276" s="153"/>
      <c r="AU276" s="154"/>
      <c r="AV276" s="153" t="s">
        <v>1028</v>
      </c>
      <c r="AW276" s="153" t="s">
        <v>106</v>
      </c>
      <c r="AX276" s="153" t="s">
        <v>106</v>
      </c>
      <c r="AY276" s="153" t="s">
        <v>106</v>
      </c>
      <c r="AZ276" s="153" t="s">
        <v>98</v>
      </c>
      <c r="BA276" s="154" t="s">
        <v>98</v>
      </c>
      <c r="BB276" s="152">
        <v>324572</v>
      </c>
      <c r="BC276" s="153">
        <v>324572</v>
      </c>
      <c r="BD276" s="153">
        <v>324572</v>
      </c>
      <c r="BE276" s="157">
        <v>324572</v>
      </c>
      <c r="BF276" s="157">
        <v>308615</v>
      </c>
      <c r="BG276" s="157"/>
      <c r="BH276" s="155"/>
      <c r="BI276" s="152">
        <v>309154</v>
      </c>
      <c r="BJ276" s="153">
        <v>311838</v>
      </c>
      <c r="BK276" s="153">
        <v>311503</v>
      </c>
      <c r="BL276" s="153">
        <v>315606</v>
      </c>
      <c r="BM276" s="153">
        <v>301915</v>
      </c>
      <c r="BN276" s="154">
        <f>SUMIF(BI276:BM276,"&gt;0",BI276:BM276)</f>
        <v>1550016</v>
      </c>
      <c r="BO276" s="156"/>
      <c r="BP276" s="148"/>
      <c r="BQ276" s="153"/>
      <c r="BR276" s="153"/>
      <c r="BS276" s="152"/>
      <c r="BT276" s="148"/>
      <c r="BU276" s="148"/>
      <c r="BV276" s="148"/>
      <c r="BW276" s="148"/>
      <c r="BX276" s="154">
        <f>SUM(BS276:BW276)</f>
        <v>0</v>
      </c>
      <c r="BY276" s="143"/>
      <c r="BZ276" s="143"/>
      <c r="CA276" s="143"/>
      <c r="CB276" s="143"/>
      <c r="CC276" s="143"/>
      <c r="CD276" s="259"/>
    </row>
    <row r="277" spans="1:82" ht="14.5">
      <c r="A277" s="143" t="s">
        <v>345</v>
      </c>
      <c r="B277" s="143" t="s">
        <v>1204</v>
      </c>
      <c r="C277" s="144" t="s">
        <v>647</v>
      </c>
      <c r="D277" s="144" t="s">
        <v>1205</v>
      </c>
      <c r="E277" s="145" t="s">
        <v>648</v>
      </c>
      <c r="F277" s="143" t="str">
        <f>SUBSTITUTE(E277," ","")</f>
        <v>59009343364</v>
      </c>
      <c r="G277" s="143" t="s">
        <v>1206</v>
      </c>
      <c r="H277" s="143" t="s">
        <v>81</v>
      </c>
      <c r="I277" s="143">
        <v>6501</v>
      </c>
      <c r="J277" s="143">
        <v>-31.531939999999999</v>
      </c>
      <c r="K277" s="143">
        <v>115.96277000000001</v>
      </c>
      <c r="L277" s="143">
        <v>1989</v>
      </c>
      <c r="M277" s="143">
        <v>33</v>
      </c>
      <c r="N277" s="143">
        <v>0</v>
      </c>
      <c r="O277" s="143"/>
      <c r="P277" s="143"/>
      <c r="Q277" s="143" t="s">
        <v>268</v>
      </c>
      <c r="R277" s="143" t="s">
        <v>79</v>
      </c>
      <c r="S277" s="147"/>
      <c r="T277" s="143"/>
      <c r="U277" s="143"/>
      <c r="V277" s="143"/>
      <c r="W277" s="143"/>
      <c r="X277" s="143"/>
      <c r="Y277" s="143"/>
      <c r="Z277" s="143"/>
      <c r="AA277" s="143"/>
      <c r="AB277" s="143"/>
      <c r="AC277" s="143"/>
      <c r="AD277" s="153"/>
      <c r="AE277" s="153"/>
      <c r="AF277" s="143"/>
      <c r="AG277" s="155"/>
      <c r="AH277" s="150" t="s">
        <v>37</v>
      </c>
      <c r="AI277" s="151" t="s">
        <v>76</v>
      </c>
      <c r="AJ277" s="151" t="s">
        <v>70</v>
      </c>
      <c r="AK277" s="151" t="s">
        <v>70</v>
      </c>
      <c r="AL277" s="151" t="s">
        <v>118</v>
      </c>
      <c r="AM277" s="151" t="s">
        <v>70</v>
      </c>
      <c r="AN277" s="151" t="s">
        <v>70</v>
      </c>
      <c r="AO277" s="151" t="s">
        <v>70</v>
      </c>
      <c r="AP277" s="152"/>
      <c r="AQ277" s="153"/>
      <c r="AR277" s="153"/>
      <c r="AS277" s="153"/>
      <c r="AT277" s="153"/>
      <c r="AU277" s="154"/>
      <c r="AV277" s="153" t="s">
        <v>1028</v>
      </c>
      <c r="AW277" s="153" t="s">
        <v>106</v>
      </c>
      <c r="AX277" s="153" t="s">
        <v>106</v>
      </c>
      <c r="AY277" s="153" t="s">
        <v>106</v>
      </c>
      <c r="AZ277" s="153" t="s">
        <v>106</v>
      </c>
      <c r="BA277" s="154" t="s">
        <v>98</v>
      </c>
      <c r="BB277" s="152">
        <v>374904</v>
      </c>
      <c r="BC277" s="153">
        <v>374904</v>
      </c>
      <c r="BD277" s="153">
        <v>374904</v>
      </c>
      <c r="BE277" s="157">
        <v>374904</v>
      </c>
      <c r="BF277" s="157">
        <v>374904</v>
      </c>
      <c r="BG277" s="157"/>
      <c r="BH277" s="155"/>
      <c r="BI277" s="152">
        <v>234537</v>
      </c>
      <c r="BJ277" s="153">
        <v>242617</v>
      </c>
      <c r="BK277" s="153">
        <v>251592</v>
      </c>
      <c r="BL277" s="153">
        <v>272417</v>
      </c>
      <c r="BM277" s="153">
        <v>206709</v>
      </c>
      <c r="BN277" s="154">
        <f>SUMIF(BI277:BM277,"&gt;0",BI277:BM277)</f>
        <v>1207872</v>
      </c>
      <c r="BO277" s="156"/>
      <c r="BP277" s="148"/>
      <c r="BQ277" s="153"/>
      <c r="BR277" s="153"/>
      <c r="BS277" s="152"/>
      <c r="BT277" s="148"/>
      <c r="BU277" s="148"/>
      <c r="BV277" s="148"/>
      <c r="BW277" s="148"/>
      <c r="BX277" s="154">
        <f>SUM(BS277:BW277)</f>
        <v>0</v>
      </c>
      <c r="BY277" s="143"/>
      <c r="BZ277" s="143"/>
      <c r="CA277" s="143"/>
      <c r="CB277" s="143"/>
      <c r="CC277" s="143"/>
      <c r="CD277" s="259"/>
    </row>
    <row r="278" spans="1:82" ht="14.5">
      <c r="A278" s="143" t="s">
        <v>517</v>
      </c>
      <c r="B278" s="143" t="s">
        <v>595</v>
      </c>
      <c r="C278" s="144" t="s">
        <v>1788</v>
      </c>
      <c r="D278" s="159" t="s">
        <v>1789</v>
      </c>
      <c r="E278" s="145" t="s">
        <v>1790</v>
      </c>
      <c r="F278" s="143" t="str">
        <f>SUBSTITUTE(E278," ","")</f>
        <v>20051316584</v>
      </c>
      <c r="G278" s="143" t="s">
        <v>1791</v>
      </c>
      <c r="H278" s="143" t="s">
        <v>31</v>
      </c>
      <c r="I278" s="143">
        <v>2580</v>
      </c>
      <c r="J278" s="143">
        <v>-35.054169999999999</v>
      </c>
      <c r="K278" s="143">
        <v>149.562378</v>
      </c>
      <c r="L278" s="143" t="s">
        <v>292</v>
      </c>
      <c r="M278" s="143" t="s">
        <v>292</v>
      </c>
      <c r="N278" s="143" t="s">
        <v>292</v>
      </c>
      <c r="O278" s="143"/>
      <c r="P278" s="143"/>
      <c r="Q278" s="143" t="s">
        <v>287</v>
      </c>
      <c r="R278" s="143" t="s">
        <v>85</v>
      </c>
      <c r="S278" s="147" t="s">
        <v>612</v>
      </c>
      <c r="T278" s="143">
        <v>2</v>
      </c>
      <c r="U278" s="143" t="s">
        <v>1792</v>
      </c>
      <c r="V278" s="143" t="s">
        <v>1793</v>
      </c>
      <c r="W278" s="143" t="s">
        <v>1320</v>
      </c>
      <c r="X278" s="143" t="s">
        <v>85</v>
      </c>
      <c r="Y278" s="143" t="s">
        <v>1794</v>
      </c>
      <c r="Z278" s="143" t="s">
        <v>1286</v>
      </c>
      <c r="AA278" s="143" t="s">
        <v>1795</v>
      </c>
      <c r="AB278" s="153">
        <f>341580+229959</f>
        <v>571539</v>
      </c>
      <c r="AC278" s="153" t="s">
        <v>1796</v>
      </c>
      <c r="AD278" s="153">
        <v>570051</v>
      </c>
      <c r="AE278" s="153">
        <v>397251</v>
      </c>
      <c r="AF278" s="143" t="s">
        <v>1045</v>
      </c>
      <c r="AG278" s="155" t="s">
        <v>1797</v>
      </c>
      <c r="AH278" s="150" t="s">
        <v>37</v>
      </c>
      <c r="AI278" s="151" t="s">
        <v>76</v>
      </c>
      <c r="AJ278" s="151" t="s">
        <v>70</v>
      </c>
      <c r="AK278" s="151" t="s">
        <v>70</v>
      </c>
      <c r="AL278" s="151" t="s">
        <v>118</v>
      </c>
      <c r="AM278" s="151" t="s">
        <v>70</v>
      </c>
      <c r="AN278" s="151" t="s">
        <v>70</v>
      </c>
      <c r="AO278" s="151" t="s">
        <v>70</v>
      </c>
      <c r="AP278" s="152"/>
      <c r="AQ278" s="153"/>
      <c r="AR278" s="153"/>
      <c r="AS278" s="153"/>
      <c r="AT278" s="153"/>
      <c r="AU278" s="154"/>
      <c r="AV278" s="153" t="s">
        <v>106</v>
      </c>
      <c r="AW278" s="153" t="s">
        <v>106</v>
      </c>
      <c r="AX278" s="153" t="s">
        <v>106</v>
      </c>
      <c r="AY278" s="153" t="s">
        <v>106</v>
      </c>
      <c r="AZ278" s="153" t="s">
        <v>106</v>
      </c>
      <c r="BA278" s="154" t="s">
        <v>114</v>
      </c>
      <c r="BB278" s="152">
        <v>192809</v>
      </c>
      <c r="BC278" s="153">
        <v>192809</v>
      </c>
      <c r="BD278" s="153">
        <v>192809</v>
      </c>
      <c r="BE278" s="153">
        <v>192809</v>
      </c>
      <c r="BF278" s="153">
        <v>192809</v>
      </c>
      <c r="BG278" s="157"/>
      <c r="BH278" s="155"/>
      <c r="BI278" s="152" t="s">
        <v>920</v>
      </c>
      <c r="BJ278" s="153" t="s">
        <v>920</v>
      </c>
      <c r="BK278" s="153" t="s">
        <v>920</v>
      </c>
      <c r="BL278" s="153" t="s">
        <v>920</v>
      </c>
      <c r="BM278" s="153" t="s">
        <v>920</v>
      </c>
      <c r="BN278" s="154">
        <f>SUMIF(BI278:BM278,"&gt;0",BI278:BM278)</f>
        <v>0</v>
      </c>
      <c r="BO278" s="156"/>
      <c r="BP278" s="148"/>
      <c r="BQ278" s="153"/>
      <c r="BR278" s="153"/>
      <c r="BS278" s="152"/>
      <c r="BT278" s="148"/>
      <c r="BU278" s="148"/>
      <c r="BV278" s="148"/>
      <c r="BW278" s="148"/>
      <c r="BX278" s="154">
        <f>SUM(BS278:BW278)</f>
        <v>0</v>
      </c>
      <c r="BY278" s="143"/>
      <c r="BZ278" s="143"/>
      <c r="CA278" s="143"/>
      <c r="CB278" s="143"/>
      <c r="CC278" s="143"/>
      <c r="CD278" s="143"/>
    </row>
    <row r="279" spans="1:82" ht="14.5">
      <c r="A279" s="143" t="s">
        <v>518</v>
      </c>
      <c r="B279" s="143" t="s">
        <v>1798</v>
      </c>
      <c r="C279" s="144" t="s">
        <v>1788</v>
      </c>
      <c r="D279" s="159" t="s">
        <v>1789</v>
      </c>
      <c r="E279" s="145" t="s">
        <v>1790</v>
      </c>
      <c r="F279" s="143" t="str">
        <f>SUBSTITUTE(E279," ","")</f>
        <v>20051316584</v>
      </c>
      <c r="G279" s="143" t="s">
        <v>1799</v>
      </c>
      <c r="H279" s="143" t="s">
        <v>53</v>
      </c>
      <c r="I279" s="143">
        <v>4301</v>
      </c>
      <c r="J279" s="143">
        <v>-27.649695999999999</v>
      </c>
      <c r="K279" s="143">
        <v>152.82646399999999</v>
      </c>
      <c r="L279" s="143" t="s">
        <v>292</v>
      </c>
      <c r="M279" s="143" t="s">
        <v>292</v>
      </c>
      <c r="N279" s="143" t="s">
        <v>292</v>
      </c>
      <c r="O279" s="143"/>
      <c r="P279" s="143"/>
      <c r="Q279" s="143" t="s">
        <v>287</v>
      </c>
      <c r="R279" s="143" t="s">
        <v>85</v>
      </c>
      <c r="S279" s="147" t="s">
        <v>612</v>
      </c>
      <c r="T279" s="143">
        <v>1</v>
      </c>
      <c r="U279" s="143" t="s">
        <v>1800</v>
      </c>
      <c r="V279" s="143" t="s">
        <v>1801</v>
      </c>
      <c r="W279" s="143" t="s">
        <v>1320</v>
      </c>
      <c r="X279" s="143" t="s">
        <v>85</v>
      </c>
      <c r="Y279" s="143" t="s">
        <v>1794</v>
      </c>
      <c r="Z279" s="143" t="s">
        <v>1802</v>
      </c>
      <c r="AA279" s="143" t="s">
        <v>1803</v>
      </c>
      <c r="AB279" s="153">
        <v>119233</v>
      </c>
      <c r="AC279" s="153" t="s">
        <v>1804</v>
      </c>
      <c r="AD279" s="153">
        <f>(330000/5)</f>
        <v>66000</v>
      </c>
      <c r="AE279" s="153">
        <f>(282857/5)</f>
        <v>56571.4</v>
      </c>
      <c r="AF279" s="143" t="s">
        <v>1045</v>
      </c>
      <c r="AG279" s="155" t="s">
        <v>1805</v>
      </c>
      <c r="AH279" s="150" t="s">
        <v>37</v>
      </c>
      <c r="AI279" s="151" t="s">
        <v>76</v>
      </c>
      <c r="AJ279" s="151" t="s">
        <v>70</v>
      </c>
      <c r="AK279" s="151" t="s">
        <v>70</v>
      </c>
      <c r="AL279" s="151" t="s">
        <v>118</v>
      </c>
      <c r="AM279" s="151" t="s">
        <v>70</v>
      </c>
      <c r="AN279" s="151" t="s">
        <v>70</v>
      </c>
      <c r="AO279" s="151" t="s">
        <v>70</v>
      </c>
      <c r="AP279" s="152"/>
      <c r="AQ279" s="153"/>
      <c r="AR279" s="153"/>
      <c r="AS279" s="153"/>
      <c r="AT279" s="153"/>
      <c r="AU279" s="154"/>
      <c r="AV279" s="153" t="s">
        <v>106</v>
      </c>
      <c r="AW279" s="153" t="s">
        <v>106</v>
      </c>
      <c r="AX279" s="153" t="s">
        <v>106</v>
      </c>
      <c r="AY279" s="153" t="s">
        <v>106</v>
      </c>
      <c r="AZ279" s="153" t="s">
        <v>106</v>
      </c>
      <c r="BA279" s="154" t="s">
        <v>114</v>
      </c>
      <c r="BB279" s="152">
        <v>149010</v>
      </c>
      <c r="BC279" s="153">
        <v>149010</v>
      </c>
      <c r="BD279" s="153">
        <v>149010</v>
      </c>
      <c r="BE279" s="153">
        <v>149010</v>
      </c>
      <c r="BF279" s="153">
        <v>149010</v>
      </c>
      <c r="BG279" s="157"/>
      <c r="BH279" s="155"/>
      <c r="BI279" s="152" t="s">
        <v>920</v>
      </c>
      <c r="BJ279" s="153" t="s">
        <v>920</v>
      </c>
      <c r="BK279" s="153" t="s">
        <v>920</v>
      </c>
      <c r="BL279" s="153" t="s">
        <v>920</v>
      </c>
      <c r="BM279" s="153" t="s">
        <v>920</v>
      </c>
      <c r="BN279" s="154">
        <f>SUMIF(BI279:BM279,"&gt;0",BI279:BM279)</f>
        <v>0</v>
      </c>
      <c r="BO279" s="156"/>
      <c r="BP279" s="148"/>
      <c r="BQ279" s="153"/>
      <c r="BR279" s="153"/>
      <c r="BS279" s="152"/>
      <c r="BT279" s="148"/>
      <c r="BU279" s="148"/>
      <c r="BV279" s="148"/>
      <c r="BW279" s="148"/>
      <c r="BX279" s="154">
        <f>SUM(BS279:BW279)</f>
        <v>0</v>
      </c>
      <c r="BY279" s="143"/>
      <c r="BZ279" s="143"/>
      <c r="CA279" s="143"/>
      <c r="CB279" s="143"/>
      <c r="CC279" s="143"/>
      <c r="CD279" s="143"/>
    </row>
    <row r="280" spans="1:82" ht="14.5">
      <c r="A280" s="143" t="s">
        <v>540</v>
      </c>
      <c r="B280" s="143" t="s">
        <v>1871</v>
      </c>
      <c r="C280" s="144" t="s">
        <v>1788</v>
      </c>
      <c r="D280" s="144" t="s">
        <v>1789</v>
      </c>
      <c r="E280" s="145" t="s">
        <v>1790</v>
      </c>
      <c r="F280" s="143" t="str">
        <f>SUBSTITUTE(E280," ","")</f>
        <v>20051316584</v>
      </c>
      <c r="G280" s="143" t="s">
        <v>1872</v>
      </c>
      <c r="H280" s="143" t="s">
        <v>60</v>
      </c>
      <c r="I280" s="143">
        <v>5094</v>
      </c>
      <c r="J280" s="143">
        <v>-34.842571</v>
      </c>
      <c r="K280" s="143">
        <v>138.58169000000001</v>
      </c>
      <c r="L280" s="143" t="s">
        <v>292</v>
      </c>
      <c r="M280" s="143" t="s">
        <v>292</v>
      </c>
      <c r="N280" s="143" t="s">
        <v>292</v>
      </c>
      <c r="O280" s="143"/>
      <c r="P280" s="143"/>
      <c r="Q280" s="143" t="s">
        <v>287</v>
      </c>
      <c r="R280" s="143" t="s">
        <v>85</v>
      </c>
      <c r="S280" s="147"/>
      <c r="T280" s="143"/>
      <c r="U280" s="143"/>
      <c r="V280" s="143"/>
      <c r="W280" s="143"/>
      <c r="X280" s="143"/>
      <c r="Y280" s="143"/>
      <c r="Z280" s="143"/>
      <c r="AA280" s="143"/>
      <c r="AB280" s="143"/>
      <c r="AC280" s="143"/>
      <c r="AD280" s="153"/>
      <c r="AE280" s="153"/>
      <c r="AF280" s="143"/>
      <c r="AG280" s="155"/>
      <c r="AH280" s="150" t="s">
        <v>37</v>
      </c>
      <c r="AI280" s="151" t="s">
        <v>76</v>
      </c>
      <c r="AJ280" s="151" t="s">
        <v>70</v>
      </c>
      <c r="AK280" s="151" t="s">
        <v>70</v>
      </c>
      <c r="AL280" s="151" t="s">
        <v>118</v>
      </c>
      <c r="AM280" s="151" t="s">
        <v>70</v>
      </c>
      <c r="AN280" s="151" t="s">
        <v>70</v>
      </c>
      <c r="AO280" s="151" t="s">
        <v>70</v>
      </c>
      <c r="AP280" s="152"/>
      <c r="AQ280" s="153"/>
      <c r="AR280" s="153"/>
      <c r="AS280" s="153"/>
      <c r="AT280" s="153"/>
      <c r="AU280" s="154"/>
      <c r="AV280" s="153" t="s">
        <v>106</v>
      </c>
      <c r="AW280" s="153" t="s">
        <v>106</v>
      </c>
      <c r="AX280" s="153" t="s">
        <v>106</v>
      </c>
      <c r="AY280" s="153" t="s">
        <v>106</v>
      </c>
      <c r="AZ280" s="153" t="s">
        <v>106</v>
      </c>
      <c r="BA280" s="154" t="s">
        <v>114</v>
      </c>
      <c r="BB280" s="152">
        <v>105065</v>
      </c>
      <c r="BC280" s="153">
        <v>105065</v>
      </c>
      <c r="BD280" s="153">
        <v>105065</v>
      </c>
      <c r="BE280" s="153">
        <v>105065</v>
      </c>
      <c r="BF280" s="153">
        <v>105065</v>
      </c>
      <c r="BG280" s="157"/>
      <c r="BH280" s="155"/>
      <c r="BI280" s="152" t="s">
        <v>920</v>
      </c>
      <c r="BJ280" s="153" t="s">
        <v>920</v>
      </c>
      <c r="BK280" s="153" t="s">
        <v>920</v>
      </c>
      <c r="BL280" s="153" t="s">
        <v>920</v>
      </c>
      <c r="BM280" s="153" t="s">
        <v>920</v>
      </c>
      <c r="BN280" s="154">
        <f>SUMIF(BI280:BM280,"&gt;0",BI280:BM280)</f>
        <v>0</v>
      </c>
      <c r="BO280" s="156"/>
      <c r="BP280" s="148"/>
      <c r="BQ280" s="153"/>
      <c r="BR280" s="153"/>
      <c r="BS280" s="152"/>
      <c r="BT280" s="148"/>
      <c r="BU280" s="148"/>
      <c r="BV280" s="148"/>
      <c r="BW280" s="148"/>
      <c r="BX280" s="154">
        <f>SUM(BS280:BW280)</f>
        <v>0</v>
      </c>
      <c r="BY280" s="143"/>
      <c r="BZ280" s="143"/>
      <c r="CA280" s="143"/>
      <c r="CB280" s="143"/>
      <c r="CC280" s="143"/>
      <c r="CD280" s="143"/>
    </row>
    <row r="281" spans="1:82" ht="14.5">
      <c r="A281" s="259" t="s">
        <v>595</v>
      </c>
      <c r="B281" s="259"/>
      <c r="C281" s="144"/>
      <c r="D281" s="159" t="s">
        <v>1789</v>
      </c>
      <c r="E281" s="145" t="s">
        <v>1790</v>
      </c>
      <c r="F281" s="259" t="str">
        <f>SUBSTITUTE(E281," ","")</f>
        <v>20051316584</v>
      </c>
      <c r="G281" s="259" t="s">
        <v>1791</v>
      </c>
      <c r="H281" s="259" t="s">
        <v>31</v>
      </c>
      <c r="I281" s="259">
        <v>2580</v>
      </c>
      <c r="J281" s="259">
        <v>-35.054169999999999</v>
      </c>
      <c r="K281" s="259">
        <v>149.562378</v>
      </c>
      <c r="L281" s="259" t="s">
        <v>292</v>
      </c>
      <c r="M281" s="259" t="s">
        <v>292</v>
      </c>
      <c r="N281" s="259" t="s">
        <v>292</v>
      </c>
      <c r="O281" s="259"/>
      <c r="P281" s="259"/>
      <c r="Q281" s="259" t="s">
        <v>287</v>
      </c>
      <c r="R281" s="259" t="s">
        <v>85</v>
      </c>
      <c r="S281" s="147" t="s">
        <v>612</v>
      </c>
      <c r="T281" s="259">
        <v>2</v>
      </c>
      <c r="U281" s="259" t="s">
        <v>2038</v>
      </c>
      <c r="V281" s="259" t="s">
        <v>2039</v>
      </c>
      <c r="W281" s="259" t="s">
        <v>1320</v>
      </c>
      <c r="X281" s="259" t="s">
        <v>85</v>
      </c>
      <c r="Y281" s="259" t="s">
        <v>1794</v>
      </c>
      <c r="Z281" s="259" t="s">
        <v>1802</v>
      </c>
      <c r="AA281" s="259" t="s">
        <v>2040</v>
      </c>
      <c r="AB281" s="260">
        <f>313497+736622</f>
        <v>1050119</v>
      </c>
      <c r="AC281" s="260" t="s">
        <v>2041</v>
      </c>
      <c r="AD281" s="260">
        <f>(330000/5)+560000</f>
        <v>626000</v>
      </c>
      <c r="AE281" s="260">
        <f>(282857/5)+465000</f>
        <v>521571.4</v>
      </c>
      <c r="AF281" s="259" t="s">
        <v>1045</v>
      </c>
      <c r="AG281" s="155" t="s">
        <v>2042</v>
      </c>
      <c r="AH281" s="150" t="s">
        <v>37</v>
      </c>
      <c r="AI281" s="261" t="s">
        <v>76</v>
      </c>
      <c r="AJ281" s="261" t="s">
        <v>70</v>
      </c>
      <c r="AK281" s="261" t="s">
        <v>70</v>
      </c>
      <c r="AL281" s="261" t="s">
        <v>118</v>
      </c>
      <c r="AM281" s="261" t="s">
        <v>70</v>
      </c>
      <c r="AN281" s="261" t="s">
        <v>70</v>
      </c>
      <c r="AO281" s="261" t="s">
        <v>70</v>
      </c>
      <c r="AP281" s="152"/>
      <c r="AQ281" s="260"/>
      <c r="AR281" s="260"/>
      <c r="AS281" s="260"/>
      <c r="AT281" s="260"/>
      <c r="AU281" s="154"/>
      <c r="AV281" s="260" t="s">
        <v>106</v>
      </c>
      <c r="AW281" s="260" t="s">
        <v>106</v>
      </c>
      <c r="AX281" s="260" t="s">
        <v>106</v>
      </c>
      <c r="AY281" s="260" t="s">
        <v>106</v>
      </c>
      <c r="AZ281" s="260" t="s">
        <v>106</v>
      </c>
      <c r="BA281" s="154" t="s">
        <v>114</v>
      </c>
      <c r="BB281" s="152">
        <v>142756</v>
      </c>
      <c r="BC281" s="260">
        <v>142756</v>
      </c>
      <c r="BD281" s="260">
        <v>142756</v>
      </c>
      <c r="BE281" s="260">
        <v>142756</v>
      </c>
      <c r="BF281" s="260">
        <v>142756</v>
      </c>
      <c r="BG281" s="262"/>
      <c r="BH281" s="155"/>
      <c r="BI281" s="152" t="s">
        <v>920</v>
      </c>
      <c r="BJ281" s="260" t="s">
        <v>920</v>
      </c>
      <c r="BK281" s="260" t="s">
        <v>920</v>
      </c>
      <c r="BL281" s="260" t="s">
        <v>920</v>
      </c>
      <c r="BM281" s="260" t="s">
        <v>920</v>
      </c>
      <c r="BN281" s="154">
        <f>SUMIF(BI281:BM281,"&gt;0",BI281:BM281)</f>
        <v>0</v>
      </c>
      <c r="BO281" s="156"/>
      <c r="BP281" s="263"/>
      <c r="BQ281" s="260"/>
      <c r="BR281" s="260"/>
      <c r="BS281" s="152"/>
      <c r="BT281" s="263"/>
      <c r="BU281" s="263"/>
      <c r="BV281" s="263"/>
      <c r="BW281" s="263"/>
      <c r="BX281" s="154">
        <f>SUM(BS281:BW281)</f>
        <v>0</v>
      </c>
      <c r="BY281" s="259"/>
      <c r="BZ281" s="259"/>
      <c r="CA281" s="259"/>
      <c r="CB281" s="259"/>
      <c r="CC281" s="259"/>
      <c r="CD281" s="259"/>
    </row>
    <row r="282" spans="1:82" ht="14.5">
      <c r="A282" s="143" t="s">
        <v>574</v>
      </c>
      <c r="B282" s="143" t="s">
        <v>1017</v>
      </c>
      <c r="C282" s="144" t="s">
        <v>831</v>
      </c>
      <c r="D282" s="144" t="s">
        <v>1876</v>
      </c>
      <c r="E282" s="145" t="s">
        <v>832</v>
      </c>
      <c r="F282" s="143" t="str">
        <f>SUBSTITUTE(E282," ","")</f>
        <v>91273289190</v>
      </c>
      <c r="G282" s="143" t="s">
        <v>292</v>
      </c>
      <c r="H282" s="143" t="s">
        <v>74</v>
      </c>
      <c r="I282" s="143" t="s">
        <v>292</v>
      </c>
      <c r="J282" s="143" t="s">
        <v>292</v>
      </c>
      <c r="K282" s="143" t="s">
        <v>292</v>
      </c>
      <c r="L282" s="143" t="s">
        <v>292</v>
      </c>
      <c r="M282" s="143" t="s">
        <v>292</v>
      </c>
      <c r="N282" s="143" t="s">
        <v>292</v>
      </c>
      <c r="O282" s="143"/>
      <c r="P282" s="143"/>
      <c r="Q282" s="143" t="s">
        <v>279</v>
      </c>
      <c r="R282" s="143" t="s">
        <v>79</v>
      </c>
      <c r="S282" s="147"/>
      <c r="T282" s="143"/>
      <c r="U282" s="143"/>
      <c r="V282" s="143"/>
      <c r="W282" s="143"/>
      <c r="X282" s="143"/>
      <c r="Y282" s="143"/>
      <c r="Z282" s="143"/>
      <c r="AA282" s="143"/>
      <c r="AB282" s="143"/>
      <c r="AC282" s="143"/>
      <c r="AD282" s="153"/>
      <c r="AE282" s="153"/>
      <c r="AF282" s="143"/>
      <c r="AG282" s="155"/>
      <c r="AH282" s="150" t="s">
        <v>37</v>
      </c>
      <c r="AI282" s="151" t="s">
        <v>76</v>
      </c>
      <c r="AJ282" s="151" t="s">
        <v>70</v>
      </c>
      <c r="AK282" s="151" t="s">
        <v>70</v>
      </c>
      <c r="AL282" s="151" t="s">
        <v>118</v>
      </c>
      <c r="AM282" s="151" t="s">
        <v>70</v>
      </c>
      <c r="AN282" s="151" t="s">
        <v>70</v>
      </c>
      <c r="AO282" s="151" t="s">
        <v>70</v>
      </c>
      <c r="AP282" s="152"/>
      <c r="AQ282" s="153"/>
      <c r="AR282" s="153"/>
      <c r="AS282" s="153"/>
      <c r="AT282" s="153"/>
      <c r="AU282" s="154"/>
      <c r="AV282" s="153" t="s">
        <v>41</v>
      </c>
      <c r="AW282" s="153" t="s">
        <v>41</v>
      </c>
      <c r="AX282" s="153" t="s">
        <v>41</v>
      </c>
      <c r="AY282" s="153" t="s">
        <v>41</v>
      </c>
      <c r="AZ282" s="153" t="s">
        <v>73</v>
      </c>
      <c r="BA282" s="154" t="s">
        <v>73</v>
      </c>
      <c r="BB282" s="152">
        <v>128474</v>
      </c>
      <c r="BC282" s="153">
        <v>128474</v>
      </c>
      <c r="BD282" s="153">
        <v>128474</v>
      </c>
      <c r="BE282" s="157">
        <v>128474</v>
      </c>
      <c r="BF282" s="157">
        <v>140686</v>
      </c>
      <c r="BG282" s="157"/>
      <c r="BH282" s="155"/>
      <c r="BI282" s="152">
        <v>112964</v>
      </c>
      <c r="BJ282" s="153">
        <v>121409</v>
      </c>
      <c r="BK282" s="153">
        <v>129126</v>
      </c>
      <c r="BL282" s="153">
        <v>119586</v>
      </c>
      <c r="BM282" s="153">
        <v>120324</v>
      </c>
      <c r="BN282" s="154">
        <f>SUMIF(BI282:BM282,"&gt;0",BI282:BM282)</f>
        <v>603409</v>
      </c>
      <c r="BO282" s="156"/>
      <c r="BP282" s="148"/>
      <c r="BQ282" s="153"/>
      <c r="BR282" s="153"/>
      <c r="BS282" s="152"/>
      <c r="BT282" s="148"/>
      <c r="BU282" s="148"/>
      <c r="BV282" s="148"/>
      <c r="BW282" s="148"/>
      <c r="BX282" s="154">
        <f>SUM(BS282:BW282)</f>
        <v>0</v>
      </c>
      <c r="BY282" s="143"/>
      <c r="BZ282" s="143"/>
      <c r="CA282" s="143"/>
      <c r="CB282" s="143"/>
      <c r="CC282" s="143"/>
      <c r="CD282" s="143"/>
    </row>
    <row r="283" spans="1:82" ht="14.5">
      <c r="A283" s="143" t="s">
        <v>544</v>
      </c>
      <c r="B283" s="143" t="s">
        <v>1879</v>
      </c>
      <c r="C283" s="144" t="s">
        <v>1875</v>
      </c>
      <c r="D283" s="144" t="s">
        <v>1876</v>
      </c>
      <c r="E283" s="145" t="s">
        <v>1877</v>
      </c>
      <c r="F283" s="143" t="str">
        <f>SUBSTITUTE(E283," ","")</f>
        <v>81945386953</v>
      </c>
      <c r="G283" s="143" t="s">
        <v>1880</v>
      </c>
      <c r="H283" s="143" t="s">
        <v>74</v>
      </c>
      <c r="I283" s="143">
        <v>3030</v>
      </c>
      <c r="J283" s="143">
        <v>-37.930425999999997</v>
      </c>
      <c r="K283" s="143">
        <v>144.64732000000001</v>
      </c>
      <c r="L283" s="143" t="s">
        <v>292</v>
      </c>
      <c r="M283" s="143" t="s">
        <v>292</v>
      </c>
      <c r="N283" s="143" t="s">
        <v>292</v>
      </c>
      <c r="O283" s="143"/>
      <c r="P283" s="143"/>
      <c r="Q283" s="143" t="s">
        <v>255</v>
      </c>
      <c r="R283" s="143" t="s">
        <v>79</v>
      </c>
      <c r="S283" s="147"/>
      <c r="T283" s="143"/>
      <c r="U283" s="143"/>
      <c r="V283" s="143"/>
      <c r="W283" s="143"/>
      <c r="X283" s="143"/>
      <c r="Y283" s="143"/>
      <c r="Z283" s="143"/>
      <c r="AA283" s="143"/>
      <c r="AB283" s="143"/>
      <c r="AC283" s="143"/>
      <c r="AD283" s="153"/>
      <c r="AE283" s="153"/>
      <c r="AF283" s="143"/>
      <c r="AG283" s="155"/>
      <c r="AH283" s="150" t="s">
        <v>37</v>
      </c>
      <c r="AI283" s="151" t="s">
        <v>76</v>
      </c>
      <c r="AJ283" s="151" t="s">
        <v>70</v>
      </c>
      <c r="AK283" s="151" t="s">
        <v>70</v>
      </c>
      <c r="AL283" s="151" t="s">
        <v>118</v>
      </c>
      <c r="AM283" s="151" t="s">
        <v>70</v>
      </c>
      <c r="AN283" s="151" t="s">
        <v>70</v>
      </c>
      <c r="AO283" s="151" t="s">
        <v>70</v>
      </c>
      <c r="AP283" s="152"/>
      <c r="AQ283" s="153"/>
      <c r="AR283" s="153"/>
      <c r="AS283" s="153"/>
      <c r="AT283" s="153"/>
      <c r="AU283" s="154"/>
      <c r="AV283" s="153" t="s">
        <v>106</v>
      </c>
      <c r="AW283" s="153" t="s">
        <v>106</v>
      </c>
      <c r="AX283" s="153" t="s">
        <v>106</v>
      </c>
      <c r="AY283" s="153" t="s">
        <v>106</v>
      </c>
      <c r="AZ283" s="153" t="s">
        <v>106</v>
      </c>
      <c r="BA283" s="154" t="s">
        <v>114</v>
      </c>
      <c r="BB283" s="152">
        <v>145847</v>
      </c>
      <c r="BC283" s="153">
        <v>145847</v>
      </c>
      <c r="BD283" s="153">
        <v>145847</v>
      </c>
      <c r="BE283" s="157">
        <v>145847</v>
      </c>
      <c r="BF283" s="157">
        <v>151472</v>
      </c>
      <c r="BG283" s="157"/>
      <c r="BH283" s="155"/>
      <c r="BI283" s="152" t="s">
        <v>920</v>
      </c>
      <c r="BJ283" s="153">
        <v>106376</v>
      </c>
      <c r="BK283" s="153">
        <v>101277</v>
      </c>
      <c r="BL283" s="153">
        <v>126444</v>
      </c>
      <c r="BM283" s="153">
        <v>146326</v>
      </c>
      <c r="BN283" s="154">
        <f>SUMIF(BI283:BM283,"&gt;0",BI283:BM283)</f>
        <v>480423</v>
      </c>
      <c r="BO283" s="156"/>
      <c r="BP283" s="148"/>
      <c r="BQ283" s="153"/>
      <c r="BR283" s="153"/>
      <c r="BS283" s="152"/>
      <c r="BT283" s="148"/>
      <c r="BU283" s="148"/>
      <c r="BV283" s="148"/>
      <c r="BW283" s="148"/>
      <c r="BX283" s="154">
        <f>SUM(BS283:BW283)</f>
        <v>0</v>
      </c>
      <c r="BY283" s="143"/>
      <c r="BZ283" s="143"/>
      <c r="CA283" s="143"/>
      <c r="CB283" s="143"/>
      <c r="CC283" s="143"/>
      <c r="CD283" s="143"/>
    </row>
    <row r="284" spans="1:82" ht="14.5">
      <c r="A284" s="143" t="s">
        <v>543</v>
      </c>
      <c r="B284" s="143" t="s">
        <v>1874</v>
      </c>
      <c r="C284" s="144" t="s">
        <v>1875</v>
      </c>
      <c r="D284" s="144" t="s">
        <v>1876</v>
      </c>
      <c r="E284" s="145" t="s">
        <v>1877</v>
      </c>
      <c r="F284" s="143" t="str">
        <f>SUBSTITUTE(E284," ","")</f>
        <v>81945386953</v>
      </c>
      <c r="G284" s="143" t="s">
        <v>1878</v>
      </c>
      <c r="H284" s="143" t="s">
        <v>74</v>
      </c>
      <c r="I284" s="143">
        <v>3175</v>
      </c>
      <c r="J284" s="143">
        <v>-38.062469999999998</v>
      </c>
      <c r="K284" s="143">
        <v>145.17627999999999</v>
      </c>
      <c r="L284" s="143" t="s">
        <v>292</v>
      </c>
      <c r="M284" s="143" t="s">
        <v>292</v>
      </c>
      <c r="N284" s="143" t="s">
        <v>292</v>
      </c>
      <c r="O284" s="143"/>
      <c r="P284" s="143"/>
      <c r="Q284" s="143" t="s">
        <v>255</v>
      </c>
      <c r="R284" s="143" t="s">
        <v>79</v>
      </c>
      <c r="S284" s="147"/>
      <c r="T284" s="143"/>
      <c r="U284" s="143"/>
      <c r="V284" s="143"/>
      <c r="W284" s="143"/>
      <c r="X284" s="143"/>
      <c r="Y284" s="143"/>
      <c r="Z284" s="143"/>
      <c r="AA284" s="143"/>
      <c r="AB284" s="143"/>
      <c r="AC284" s="143"/>
      <c r="AD284" s="153"/>
      <c r="AE284" s="153"/>
      <c r="AF284" s="143"/>
      <c r="AG284" s="155"/>
      <c r="AH284" s="150" t="s">
        <v>37</v>
      </c>
      <c r="AI284" s="151" t="s">
        <v>76</v>
      </c>
      <c r="AJ284" s="151" t="s">
        <v>70</v>
      </c>
      <c r="AK284" s="151" t="s">
        <v>70</v>
      </c>
      <c r="AL284" s="151" t="s">
        <v>118</v>
      </c>
      <c r="AM284" s="151" t="s">
        <v>70</v>
      </c>
      <c r="AN284" s="151" t="s">
        <v>70</v>
      </c>
      <c r="AO284" s="151" t="s">
        <v>70</v>
      </c>
      <c r="AP284" s="152" t="s">
        <v>26</v>
      </c>
      <c r="AQ284" s="153" t="s">
        <v>26</v>
      </c>
      <c r="AR284" s="160" t="str">
        <f>IF(BF284&gt;(BC284*1.1),"yes","no")</f>
        <v>yes</v>
      </c>
      <c r="AS284" s="160" t="str">
        <f>IF(BL284&gt;(BJ284*1.1),"yes","no")</f>
        <v>yes</v>
      </c>
      <c r="AT284" s="160" t="str">
        <f>IF(BL284&gt;(BJ284*1.1),"yes","no")</f>
        <v>yes</v>
      </c>
      <c r="AU284" s="154">
        <v>0</v>
      </c>
      <c r="AV284" s="153" t="s">
        <v>114</v>
      </c>
      <c r="AW284" s="148" t="s">
        <v>89</v>
      </c>
      <c r="AX284" s="153" t="s">
        <v>80</v>
      </c>
      <c r="AY284" s="153" t="s">
        <v>80</v>
      </c>
      <c r="AZ284" s="153" t="s">
        <v>80</v>
      </c>
      <c r="BA284" s="154" t="s">
        <v>114</v>
      </c>
      <c r="BB284" s="152" t="s">
        <v>114</v>
      </c>
      <c r="BC284" s="153">
        <v>100000</v>
      </c>
      <c r="BD284" s="153">
        <v>123281</v>
      </c>
      <c r="BE284" s="157">
        <v>123619</v>
      </c>
      <c r="BF284" s="157">
        <v>126099</v>
      </c>
      <c r="BG284" s="153"/>
      <c r="BH284" s="155"/>
      <c r="BI284" s="152" t="s">
        <v>920</v>
      </c>
      <c r="BJ284" s="153">
        <v>103304</v>
      </c>
      <c r="BK284" s="153">
        <v>100091</v>
      </c>
      <c r="BL284" s="153">
        <v>121089</v>
      </c>
      <c r="BM284" s="153" t="s">
        <v>920</v>
      </c>
      <c r="BN284" s="154">
        <f>SUMIF(BI284:BM284,"&gt;0",BI284:BM284)</f>
        <v>324484</v>
      </c>
      <c r="BO284" s="156"/>
      <c r="BP284" s="148"/>
      <c r="BQ284" s="153"/>
      <c r="BR284" s="153"/>
      <c r="BS284" s="152"/>
      <c r="BT284" s="148"/>
      <c r="BU284" s="148"/>
      <c r="BV284" s="148"/>
      <c r="BW284" s="148"/>
      <c r="BX284" s="154">
        <f>SUM(BS284:BW284)</f>
        <v>0</v>
      </c>
      <c r="BY284" s="143"/>
      <c r="BZ284" s="143"/>
      <c r="CA284" s="143"/>
      <c r="CB284" s="143"/>
      <c r="CC284" s="143"/>
      <c r="CD284" s="143"/>
    </row>
    <row r="285" spans="1:82" ht="14.5">
      <c r="A285" s="143" t="s">
        <v>487</v>
      </c>
      <c r="B285" s="143" t="s">
        <v>1679</v>
      </c>
      <c r="C285" s="144" t="s">
        <v>1680</v>
      </c>
      <c r="D285" s="144" t="s">
        <v>1681</v>
      </c>
      <c r="E285" s="145" t="s">
        <v>1682</v>
      </c>
      <c r="F285" s="143" t="str">
        <f>SUBSTITUTE(E285," ","")</f>
        <v>94004230326</v>
      </c>
      <c r="G285" s="143" t="s">
        <v>1683</v>
      </c>
      <c r="H285" s="143" t="s">
        <v>74</v>
      </c>
      <c r="I285" s="143">
        <v>3015</v>
      </c>
      <c r="J285" s="143">
        <v>-37.831505999999997</v>
      </c>
      <c r="K285" s="143">
        <v>144.891109</v>
      </c>
      <c r="L285" s="143" t="s">
        <v>292</v>
      </c>
      <c r="M285" s="143" t="s">
        <v>292</v>
      </c>
      <c r="N285" s="143" t="s">
        <v>292</v>
      </c>
      <c r="O285" s="143"/>
      <c r="P285" s="143"/>
      <c r="Q285" s="143" t="s">
        <v>161</v>
      </c>
      <c r="R285" s="143" t="s">
        <v>72</v>
      </c>
      <c r="S285" s="147"/>
      <c r="T285" s="143"/>
      <c r="U285" s="143"/>
      <c r="V285" s="143"/>
      <c r="W285" s="143"/>
      <c r="X285" s="143"/>
      <c r="Y285" s="143"/>
      <c r="Z285" s="143"/>
      <c r="AA285" s="143"/>
      <c r="AB285" s="143"/>
      <c r="AC285" s="143"/>
      <c r="AD285" s="153"/>
      <c r="AE285" s="153"/>
      <c r="AF285" s="143"/>
      <c r="AG285" s="155"/>
      <c r="AH285" s="150" t="s">
        <v>37</v>
      </c>
      <c r="AI285" s="151" t="s">
        <v>76</v>
      </c>
      <c r="AJ285" s="151" t="s">
        <v>70</v>
      </c>
      <c r="AK285" s="151" t="s">
        <v>70</v>
      </c>
      <c r="AL285" s="151" t="s">
        <v>118</v>
      </c>
      <c r="AM285" s="151" t="s">
        <v>70</v>
      </c>
      <c r="AN285" s="151" t="s">
        <v>70</v>
      </c>
      <c r="AO285" s="151" t="s">
        <v>70</v>
      </c>
      <c r="AP285" s="152"/>
      <c r="AQ285" s="153"/>
      <c r="AR285" s="153"/>
      <c r="AS285" s="153"/>
      <c r="AT285" s="153"/>
      <c r="AU285" s="154"/>
      <c r="AV285" s="153" t="s">
        <v>106</v>
      </c>
      <c r="AW285" s="153" t="s">
        <v>106</v>
      </c>
      <c r="AX285" s="153" t="s">
        <v>106</v>
      </c>
      <c r="AY285" s="153" t="s">
        <v>106</v>
      </c>
      <c r="AZ285" s="153" t="s">
        <v>106</v>
      </c>
      <c r="BA285" s="154" t="s">
        <v>114</v>
      </c>
      <c r="BB285" s="152">
        <v>149986</v>
      </c>
      <c r="BC285" s="153">
        <v>149986</v>
      </c>
      <c r="BD285" s="153">
        <v>149986</v>
      </c>
      <c r="BE285" s="157">
        <v>149986</v>
      </c>
      <c r="BF285" s="157">
        <v>149986</v>
      </c>
      <c r="BG285" s="157"/>
      <c r="BH285" s="155"/>
      <c r="BI285" s="152" t="s">
        <v>920</v>
      </c>
      <c r="BJ285" s="153" t="s">
        <v>920</v>
      </c>
      <c r="BK285" s="153" t="s">
        <v>920</v>
      </c>
      <c r="BL285" s="153" t="s">
        <v>920</v>
      </c>
      <c r="BM285" s="153" t="s">
        <v>920</v>
      </c>
      <c r="BN285" s="154">
        <f>SUMIF(BI285:BM285,"&gt;0",BI285:BM285)</f>
        <v>0</v>
      </c>
      <c r="BO285" s="156"/>
      <c r="BP285" s="148"/>
      <c r="BQ285" s="153"/>
      <c r="BR285" s="153"/>
      <c r="BS285" s="152"/>
      <c r="BT285" s="148"/>
      <c r="BU285" s="148"/>
      <c r="BV285" s="148"/>
      <c r="BW285" s="148"/>
      <c r="BX285" s="154">
        <f>SUM(BS285:BW285)</f>
        <v>0</v>
      </c>
      <c r="BY285" s="143"/>
      <c r="BZ285" s="143"/>
      <c r="CA285" s="143"/>
      <c r="CB285" s="143"/>
      <c r="CC285" s="143"/>
      <c r="CD285" s="143"/>
    </row>
    <row r="286" spans="1:82" ht="14.5">
      <c r="A286" s="143" t="s">
        <v>490</v>
      </c>
      <c r="B286" s="143" t="s">
        <v>1699</v>
      </c>
      <c r="C286" s="144" t="s">
        <v>1680</v>
      </c>
      <c r="D286" s="144" t="s">
        <v>1681</v>
      </c>
      <c r="E286" s="145" t="s">
        <v>1682</v>
      </c>
      <c r="F286" s="143" t="str">
        <f>SUBSTITUTE(E286," ","")</f>
        <v>94004230326</v>
      </c>
      <c r="G286" s="143" t="s">
        <v>1700</v>
      </c>
      <c r="H286" s="143" t="s">
        <v>60</v>
      </c>
      <c r="I286" s="143">
        <v>5008</v>
      </c>
      <c r="J286" s="143">
        <v>-34.889433333299998</v>
      </c>
      <c r="K286" s="143">
        <v>138.550963889</v>
      </c>
      <c r="L286" s="143" t="s">
        <v>292</v>
      </c>
      <c r="M286" s="143" t="s">
        <v>292</v>
      </c>
      <c r="N286" s="143" t="s">
        <v>292</v>
      </c>
      <c r="O286" s="143"/>
      <c r="P286" s="143"/>
      <c r="Q286" s="143" t="s">
        <v>161</v>
      </c>
      <c r="R286" s="143" t="s">
        <v>72</v>
      </c>
      <c r="S286" s="147"/>
      <c r="T286" s="143"/>
      <c r="U286" s="143"/>
      <c r="V286" s="143"/>
      <c r="W286" s="143"/>
      <c r="X286" s="143"/>
      <c r="Y286" s="143"/>
      <c r="Z286" s="143"/>
      <c r="AA286" s="143"/>
      <c r="AB286" s="143"/>
      <c r="AC286" s="143"/>
      <c r="AD286" s="153"/>
      <c r="AE286" s="153"/>
      <c r="AF286" s="143"/>
      <c r="AG286" s="155"/>
      <c r="AH286" s="150" t="s">
        <v>37</v>
      </c>
      <c r="AI286" s="151" t="s">
        <v>76</v>
      </c>
      <c r="AJ286" s="151" t="s">
        <v>70</v>
      </c>
      <c r="AK286" s="151" t="s">
        <v>70</v>
      </c>
      <c r="AL286" s="151" t="s">
        <v>118</v>
      </c>
      <c r="AM286" s="151" t="s">
        <v>70</v>
      </c>
      <c r="AN286" s="151" t="s">
        <v>70</v>
      </c>
      <c r="AO286" s="151" t="s">
        <v>70</v>
      </c>
      <c r="AP286" s="152"/>
      <c r="AQ286" s="153"/>
      <c r="AR286" s="153"/>
      <c r="AS286" s="153"/>
      <c r="AT286" s="153"/>
      <c r="AU286" s="154"/>
      <c r="AV286" s="153" t="s">
        <v>106</v>
      </c>
      <c r="AW286" s="153" t="s">
        <v>106</v>
      </c>
      <c r="AX286" s="153" t="s">
        <v>106</v>
      </c>
      <c r="AY286" s="153" t="s">
        <v>106</v>
      </c>
      <c r="AZ286" s="153" t="s">
        <v>106</v>
      </c>
      <c r="BA286" s="154" t="s">
        <v>114</v>
      </c>
      <c r="BB286" s="152">
        <v>165594</v>
      </c>
      <c r="BC286" s="153">
        <v>165594</v>
      </c>
      <c r="BD286" s="153">
        <v>165594</v>
      </c>
      <c r="BE286" s="153">
        <v>165594</v>
      </c>
      <c r="BF286" s="153">
        <v>165594</v>
      </c>
      <c r="BG286" s="157"/>
      <c r="BH286" s="155"/>
      <c r="BI286" s="152" t="s">
        <v>920</v>
      </c>
      <c r="BJ286" s="153" t="s">
        <v>920</v>
      </c>
      <c r="BK286" s="153" t="s">
        <v>920</v>
      </c>
      <c r="BL286" s="153" t="s">
        <v>920</v>
      </c>
      <c r="BM286" s="153" t="s">
        <v>920</v>
      </c>
      <c r="BN286" s="154">
        <f>SUMIF(BI286:BM286,"&gt;0",BI286:BM286)</f>
        <v>0</v>
      </c>
      <c r="BO286" s="156"/>
      <c r="BP286" s="148"/>
      <c r="BQ286" s="153"/>
      <c r="BR286" s="153"/>
      <c r="BS286" s="152"/>
      <c r="BT286" s="148"/>
      <c r="BU286" s="148"/>
      <c r="BV286" s="148"/>
      <c r="BW286" s="148"/>
      <c r="BX286" s="154">
        <f>SUM(BS286:BW286)</f>
        <v>0</v>
      </c>
      <c r="BY286" s="143"/>
      <c r="BZ286" s="143"/>
      <c r="CA286" s="143"/>
      <c r="CB286" s="143"/>
      <c r="CC286" s="143"/>
      <c r="CD286" s="143"/>
    </row>
    <row r="287" spans="1:82" ht="14.5">
      <c r="A287" s="143" t="s">
        <v>491</v>
      </c>
      <c r="B287" s="143" t="s">
        <v>1701</v>
      </c>
      <c r="C287" s="144" t="s">
        <v>1680</v>
      </c>
      <c r="D287" s="144" t="s">
        <v>1681</v>
      </c>
      <c r="E287" s="145" t="s">
        <v>1682</v>
      </c>
      <c r="F287" s="143" t="str">
        <f>SUBSTITUTE(E287," ","")</f>
        <v>94004230326</v>
      </c>
      <c r="G287" s="143" t="s">
        <v>1702</v>
      </c>
      <c r="H287" s="143" t="s">
        <v>31</v>
      </c>
      <c r="I287" s="143">
        <v>2749</v>
      </c>
      <c r="J287" s="143">
        <v>-33.730021000000001</v>
      </c>
      <c r="K287" s="143">
        <v>150.697822</v>
      </c>
      <c r="L287" s="143" t="s">
        <v>292</v>
      </c>
      <c r="M287" s="143" t="s">
        <v>292</v>
      </c>
      <c r="N287" s="143" t="s">
        <v>292</v>
      </c>
      <c r="O287" s="143"/>
      <c r="P287" s="143"/>
      <c r="Q287" s="143" t="s">
        <v>161</v>
      </c>
      <c r="R287" s="143" t="s">
        <v>72</v>
      </c>
      <c r="S287" s="147"/>
      <c r="T287" s="143"/>
      <c r="U287" s="143"/>
      <c r="V287" s="143"/>
      <c r="W287" s="143"/>
      <c r="X287" s="143"/>
      <c r="Y287" s="143"/>
      <c r="Z287" s="143"/>
      <c r="AA287" s="143"/>
      <c r="AB287" s="143"/>
      <c r="AC287" s="143"/>
      <c r="AD287" s="153"/>
      <c r="AE287" s="153"/>
      <c r="AF287" s="143"/>
      <c r="AG287" s="155"/>
      <c r="AH287" s="150" t="s">
        <v>37</v>
      </c>
      <c r="AI287" s="151" t="s">
        <v>76</v>
      </c>
      <c r="AJ287" s="151" t="s">
        <v>70</v>
      </c>
      <c r="AK287" s="151" t="s">
        <v>70</v>
      </c>
      <c r="AL287" s="151" t="s">
        <v>118</v>
      </c>
      <c r="AM287" s="151" t="s">
        <v>70</v>
      </c>
      <c r="AN287" s="151" t="s">
        <v>70</v>
      </c>
      <c r="AO287" s="151" t="s">
        <v>70</v>
      </c>
      <c r="AP287" s="152"/>
      <c r="AQ287" s="153"/>
      <c r="AR287" s="153"/>
      <c r="AS287" s="153"/>
      <c r="AT287" s="153"/>
      <c r="AU287" s="154"/>
      <c r="AV287" s="153" t="s">
        <v>106</v>
      </c>
      <c r="AW287" s="153" t="s">
        <v>106</v>
      </c>
      <c r="AX287" s="153" t="s">
        <v>106</v>
      </c>
      <c r="AY287" s="153" t="s">
        <v>106</v>
      </c>
      <c r="AZ287" s="153" t="s">
        <v>106</v>
      </c>
      <c r="BA287" s="154" t="s">
        <v>114</v>
      </c>
      <c r="BB287" s="152">
        <v>161610</v>
      </c>
      <c r="BC287" s="153">
        <v>161610</v>
      </c>
      <c r="BD287" s="153">
        <v>161610</v>
      </c>
      <c r="BE287" s="153">
        <v>161610</v>
      </c>
      <c r="BF287" s="153">
        <v>161610</v>
      </c>
      <c r="BG287" s="157"/>
      <c r="BH287" s="155"/>
      <c r="BI287" s="152" t="s">
        <v>920</v>
      </c>
      <c r="BJ287" s="153" t="s">
        <v>920</v>
      </c>
      <c r="BK287" s="153" t="s">
        <v>920</v>
      </c>
      <c r="BL287" s="153" t="s">
        <v>920</v>
      </c>
      <c r="BM287" s="153" t="s">
        <v>920</v>
      </c>
      <c r="BN287" s="154">
        <f>SUMIF(BI287:BM287,"&gt;0",BI287:BM287)</f>
        <v>0</v>
      </c>
      <c r="BO287" s="156"/>
      <c r="BP287" s="148"/>
      <c r="BQ287" s="153"/>
      <c r="BR287" s="153"/>
      <c r="BS287" s="152"/>
      <c r="BT287" s="148"/>
      <c r="BU287" s="148"/>
      <c r="BV287" s="148"/>
      <c r="BW287" s="148"/>
      <c r="BX287" s="154">
        <f>SUM(BS287:BW287)</f>
        <v>0</v>
      </c>
      <c r="BY287" s="143"/>
      <c r="BZ287" s="143"/>
      <c r="CA287" s="143"/>
      <c r="CB287" s="143"/>
      <c r="CC287" s="143"/>
      <c r="CD287" s="143"/>
    </row>
    <row r="288" spans="1:82" ht="14.5">
      <c r="A288" s="143" t="s">
        <v>580</v>
      </c>
      <c r="B288" s="143" t="s">
        <v>1991</v>
      </c>
      <c r="C288" s="144" t="s">
        <v>1992</v>
      </c>
      <c r="D288" s="144" t="s">
        <v>1681</v>
      </c>
      <c r="E288" s="145" t="s">
        <v>1993</v>
      </c>
      <c r="F288" s="143" t="str">
        <f>SUBSTITUTE(E288," ","")</f>
        <v>43104958581</v>
      </c>
      <c r="G288" s="143" t="s">
        <v>1994</v>
      </c>
      <c r="H288" s="143" t="s">
        <v>53</v>
      </c>
      <c r="I288" s="143">
        <v>4174</v>
      </c>
      <c r="J288" s="143">
        <v>-27.440860000000001</v>
      </c>
      <c r="K288" s="143">
        <v>153.11577199999999</v>
      </c>
      <c r="L288" s="143" t="s">
        <v>292</v>
      </c>
      <c r="M288" s="143" t="s">
        <v>292</v>
      </c>
      <c r="N288" s="143" t="s">
        <v>292</v>
      </c>
      <c r="O288" s="143"/>
      <c r="P288" s="143"/>
      <c r="Q288" s="143" t="s">
        <v>204</v>
      </c>
      <c r="R288" s="143" t="s">
        <v>72</v>
      </c>
      <c r="S288" s="147" t="s">
        <v>612</v>
      </c>
      <c r="T288" s="143">
        <v>2</v>
      </c>
      <c r="U288" s="143" t="s">
        <v>1995</v>
      </c>
      <c r="V288" s="143" t="s">
        <v>1996</v>
      </c>
      <c r="W288" s="143" t="s">
        <v>1997</v>
      </c>
      <c r="X288" s="143" t="s">
        <v>1998</v>
      </c>
      <c r="Y288" s="143" t="s">
        <v>1999</v>
      </c>
      <c r="Z288" s="143" t="s">
        <v>2000</v>
      </c>
      <c r="AA288" s="143" t="s">
        <v>2001</v>
      </c>
      <c r="AB288" s="153">
        <v>0</v>
      </c>
      <c r="AC288" s="153" t="s">
        <v>1044</v>
      </c>
      <c r="AD288" s="153"/>
      <c r="AE288" s="153"/>
      <c r="AF288" s="143" t="s">
        <v>1045</v>
      </c>
      <c r="AG288" s="155"/>
      <c r="AH288" s="150" t="s">
        <v>37</v>
      </c>
      <c r="AI288" s="151" t="s">
        <v>76</v>
      </c>
      <c r="AJ288" s="151" t="s">
        <v>70</v>
      </c>
      <c r="AK288" s="151" t="s">
        <v>70</v>
      </c>
      <c r="AL288" s="151" t="s">
        <v>118</v>
      </c>
      <c r="AM288" s="151" t="s">
        <v>70</v>
      </c>
      <c r="AN288" s="151" t="s">
        <v>70</v>
      </c>
      <c r="AO288" s="151" t="s">
        <v>70</v>
      </c>
      <c r="AP288" s="152"/>
      <c r="AQ288" s="153"/>
      <c r="AR288" s="153"/>
      <c r="AS288" s="153"/>
      <c r="AT288" s="153"/>
      <c r="AU288" s="154"/>
      <c r="AV288" s="153" t="s">
        <v>106</v>
      </c>
      <c r="AW288" s="153" t="s">
        <v>106</v>
      </c>
      <c r="AX288" s="153" t="s">
        <v>106</v>
      </c>
      <c r="AY288" s="153" t="s">
        <v>106</v>
      </c>
      <c r="AZ288" s="153" t="s">
        <v>106</v>
      </c>
      <c r="BA288" s="154" t="s">
        <v>114</v>
      </c>
      <c r="BB288" s="152">
        <v>107134</v>
      </c>
      <c r="BC288" s="153">
        <v>107134</v>
      </c>
      <c r="BD288" s="153">
        <v>107134</v>
      </c>
      <c r="BE288" s="153">
        <v>107134</v>
      </c>
      <c r="BF288" s="153">
        <v>107134</v>
      </c>
      <c r="BG288" s="157"/>
      <c r="BH288" s="155"/>
      <c r="BI288" s="152" t="s">
        <v>920</v>
      </c>
      <c r="BJ288" s="153" t="s">
        <v>920</v>
      </c>
      <c r="BK288" s="153" t="s">
        <v>920</v>
      </c>
      <c r="BL288" s="153" t="s">
        <v>920</v>
      </c>
      <c r="BM288" s="153" t="s">
        <v>920</v>
      </c>
      <c r="BN288" s="154">
        <f>SUMIF(BI288:BM288,"&gt;0",BI288:BM288)</f>
        <v>0</v>
      </c>
      <c r="BO288" s="156"/>
      <c r="BP288" s="148"/>
      <c r="BQ288" s="153"/>
      <c r="BR288" s="153"/>
      <c r="BS288" s="152"/>
      <c r="BT288" s="148"/>
      <c r="BU288" s="148"/>
      <c r="BV288" s="148"/>
      <c r="BW288" s="148"/>
      <c r="BX288" s="154">
        <f>SUM(BS288:BW288)</f>
        <v>0</v>
      </c>
      <c r="BY288" s="143"/>
      <c r="BZ288" s="143"/>
      <c r="CA288" s="143"/>
      <c r="CB288" s="143"/>
      <c r="CC288" s="143"/>
      <c r="CD288" s="143"/>
    </row>
    <row r="289" spans="1:82" ht="14.5">
      <c r="A289" s="143" t="s">
        <v>391</v>
      </c>
      <c r="B289" s="143" t="s">
        <v>1350</v>
      </c>
      <c r="C289" s="144" t="s">
        <v>683</v>
      </c>
      <c r="D289" s="159" t="s">
        <v>1220</v>
      </c>
      <c r="E289" s="145" t="s">
        <v>684</v>
      </c>
      <c r="F289" s="143" t="str">
        <f>SUBSTITUTE(E289," ","")</f>
        <v>46004303842</v>
      </c>
      <c r="G289" s="143" t="s">
        <v>1351</v>
      </c>
      <c r="H289" s="143" t="s">
        <v>74</v>
      </c>
      <c r="I289" s="143">
        <v>3214</v>
      </c>
      <c r="J289" s="143">
        <v>-38.076224000000003</v>
      </c>
      <c r="K289" s="143">
        <v>144.379108</v>
      </c>
      <c r="L289" s="143">
        <v>1954</v>
      </c>
      <c r="M289" s="143">
        <v>68</v>
      </c>
      <c r="N289" s="143">
        <v>0</v>
      </c>
      <c r="O289" s="143"/>
      <c r="P289" s="143"/>
      <c r="Q289" s="143" t="s">
        <v>119</v>
      </c>
      <c r="R289" s="143" t="s">
        <v>58</v>
      </c>
      <c r="S289" s="147"/>
      <c r="T289" s="143"/>
      <c r="U289" s="143"/>
      <c r="V289" s="143"/>
      <c r="W289" s="143"/>
      <c r="X289" s="143"/>
      <c r="Y289" s="143"/>
      <c r="Z289" s="143"/>
      <c r="AA289" s="143"/>
      <c r="AB289" s="143"/>
      <c r="AC289" s="143"/>
      <c r="AD289" s="153"/>
      <c r="AE289" s="153"/>
      <c r="AF289" s="143"/>
      <c r="AG289" s="155"/>
      <c r="AH289" s="147" t="s">
        <v>26</v>
      </c>
      <c r="AI289" s="151" t="s">
        <v>76</v>
      </c>
      <c r="AJ289" s="146"/>
      <c r="AK289" s="146" t="s">
        <v>70</v>
      </c>
      <c r="AL289" s="151" t="s">
        <v>118</v>
      </c>
      <c r="AM289" s="143"/>
      <c r="AN289" s="143"/>
      <c r="AO289" s="143"/>
      <c r="AP289" s="152"/>
      <c r="AQ289" s="153"/>
      <c r="AR289" s="153"/>
      <c r="AS289" s="153"/>
      <c r="AT289" s="153"/>
      <c r="AU289" s="154"/>
      <c r="AV289" s="153" t="s">
        <v>41</v>
      </c>
      <c r="AW289" s="153" t="s">
        <v>41</v>
      </c>
      <c r="AX289" s="153" t="s">
        <v>41</v>
      </c>
      <c r="AY289" s="153" t="s">
        <v>41</v>
      </c>
      <c r="AZ289" s="153" t="s">
        <v>98</v>
      </c>
      <c r="BA289" s="154" t="s">
        <v>98</v>
      </c>
      <c r="BB289" s="152">
        <v>1160938</v>
      </c>
      <c r="BC289" s="153">
        <v>1160938</v>
      </c>
      <c r="BD289" s="153">
        <v>1160938</v>
      </c>
      <c r="BE289" s="157">
        <v>1160938</v>
      </c>
      <c r="BF289" s="157">
        <v>1106986</v>
      </c>
      <c r="BG289" s="157"/>
      <c r="BH289" s="155"/>
      <c r="BI289" s="152">
        <v>1020905</v>
      </c>
      <c r="BJ289" s="153">
        <v>1050846</v>
      </c>
      <c r="BK289" s="153">
        <v>1101920</v>
      </c>
      <c r="BL289" s="153">
        <v>985025</v>
      </c>
      <c r="BM289" s="153">
        <v>912997</v>
      </c>
      <c r="BN289" s="154">
        <f>SUMIF(BI289:BM289,"&gt;0",BI289:BM289)</f>
        <v>5071693</v>
      </c>
      <c r="BO289" s="156"/>
      <c r="BP289" s="148"/>
      <c r="BQ289" s="153"/>
      <c r="BR289" s="153"/>
      <c r="BS289" s="152"/>
      <c r="BT289" s="148"/>
      <c r="BU289" s="148"/>
      <c r="BV289" s="148"/>
      <c r="BW289" s="148"/>
      <c r="BX289" s="154">
        <f>SUM(BS289:BW289)</f>
        <v>0</v>
      </c>
      <c r="BY289" s="143"/>
      <c r="BZ289" s="143"/>
      <c r="CA289" s="143"/>
      <c r="CB289" s="143"/>
      <c r="CC289" s="143"/>
      <c r="CD289" s="259"/>
    </row>
    <row r="290" spans="1:82" ht="14.5">
      <c r="A290" s="143" t="s">
        <v>350</v>
      </c>
      <c r="B290" s="143" t="s">
        <v>1218</v>
      </c>
      <c r="C290" s="144" t="s">
        <v>1219</v>
      </c>
      <c r="D290" s="144" t="s">
        <v>1220</v>
      </c>
      <c r="E290" s="145" t="s">
        <v>1221</v>
      </c>
      <c r="F290" s="143" t="str">
        <f>SUBSTITUTE(E290," ","")</f>
        <v>46004610459</v>
      </c>
      <c r="G290" s="143" t="s">
        <v>1222</v>
      </c>
      <c r="H290" s="143" t="s">
        <v>31</v>
      </c>
      <c r="I290" s="143">
        <v>2142</v>
      </c>
      <c r="J290" s="143">
        <v>-33.823749999999997</v>
      </c>
      <c r="K290" s="143">
        <v>151.03744399999999</v>
      </c>
      <c r="L290" s="143" t="s">
        <v>292</v>
      </c>
      <c r="M290" s="143" t="s">
        <v>292</v>
      </c>
      <c r="N290" s="143" t="s">
        <v>292</v>
      </c>
      <c r="O290" s="143"/>
      <c r="P290" s="143"/>
      <c r="Q290" s="143" t="s">
        <v>116</v>
      </c>
      <c r="R290" s="143" t="s">
        <v>58</v>
      </c>
      <c r="S290" s="147"/>
      <c r="T290" s="143"/>
      <c r="U290" s="143"/>
      <c r="V290" s="143"/>
      <c r="W290" s="143"/>
      <c r="X290" s="143"/>
      <c r="Y290" s="143"/>
      <c r="Z290" s="143"/>
      <c r="AA290" s="143"/>
      <c r="AB290" s="143"/>
      <c r="AC290" s="143"/>
      <c r="AD290" s="153"/>
      <c r="AE290" s="153"/>
      <c r="AF290" s="143"/>
      <c r="AG290" s="155"/>
      <c r="AH290" s="147" t="s">
        <v>26</v>
      </c>
      <c r="AI290" s="151" t="s">
        <v>76</v>
      </c>
      <c r="AJ290" s="146"/>
      <c r="AK290" s="146" t="s">
        <v>70</v>
      </c>
      <c r="AL290" s="151" t="s">
        <v>118</v>
      </c>
      <c r="AM290" s="143"/>
      <c r="AN290" s="143"/>
      <c r="AO290" s="143"/>
      <c r="AP290" s="152"/>
      <c r="AQ290" s="153"/>
      <c r="AR290" s="153"/>
      <c r="AS290" s="153"/>
      <c r="AT290" s="153"/>
      <c r="AU290" s="154"/>
      <c r="AV290" s="153" t="s">
        <v>106</v>
      </c>
      <c r="AW290" s="153" t="s">
        <v>106</v>
      </c>
      <c r="AX290" s="153" t="s">
        <v>106</v>
      </c>
      <c r="AY290" s="153" t="s">
        <v>106</v>
      </c>
      <c r="AZ290" s="153" t="s">
        <v>106</v>
      </c>
      <c r="BA290" s="154" t="s">
        <v>114</v>
      </c>
      <c r="BB290" s="152">
        <v>100000</v>
      </c>
      <c r="BC290" s="153">
        <v>100000</v>
      </c>
      <c r="BD290" s="153">
        <v>100000</v>
      </c>
      <c r="BE290" s="153">
        <v>100000</v>
      </c>
      <c r="BF290" s="153">
        <v>100000</v>
      </c>
      <c r="BG290" s="157"/>
      <c r="BH290" s="155"/>
      <c r="BI290" s="152" t="s">
        <v>920</v>
      </c>
      <c r="BJ290" s="153" t="s">
        <v>920</v>
      </c>
      <c r="BK290" s="153" t="s">
        <v>920</v>
      </c>
      <c r="BL290" s="153" t="s">
        <v>920</v>
      </c>
      <c r="BM290" s="153" t="s">
        <v>920</v>
      </c>
      <c r="BN290" s="154">
        <f>SUMIF(BI290:BM290,"&gt;0",BI290:BM290)</f>
        <v>0</v>
      </c>
      <c r="BO290" s="156"/>
      <c r="BP290" s="148"/>
      <c r="BQ290" s="153"/>
      <c r="BR290" s="153"/>
      <c r="BS290" s="152"/>
      <c r="BT290" s="148"/>
      <c r="BU290" s="148"/>
      <c r="BV290" s="148"/>
      <c r="BW290" s="148"/>
      <c r="BX290" s="154">
        <f>SUM(BS290:BW290)</f>
        <v>0</v>
      </c>
      <c r="BY290" s="143"/>
      <c r="BZ290" s="143"/>
      <c r="CA290" s="143"/>
      <c r="CB290" s="143"/>
      <c r="CC290" s="143"/>
      <c r="CD290" s="259"/>
    </row>
    <row r="291" spans="1:82" ht="14.5">
      <c r="A291" s="143" t="s">
        <v>356</v>
      </c>
      <c r="B291" s="143" t="s">
        <v>1233</v>
      </c>
      <c r="C291" s="144" t="s">
        <v>1234</v>
      </c>
      <c r="D291" s="144" t="s">
        <v>1235</v>
      </c>
      <c r="E291" s="145" t="s">
        <v>1236</v>
      </c>
      <c r="F291" s="143" t="str">
        <f>SUBSTITUTE(E291," ","")</f>
        <v>81008668371</v>
      </c>
      <c r="G291" s="143" t="s">
        <v>1237</v>
      </c>
      <c r="H291" s="143" t="s">
        <v>81</v>
      </c>
      <c r="I291" s="143">
        <v>6167</v>
      </c>
      <c r="J291" s="143">
        <v>-32.241110999999997</v>
      </c>
      <c r="K291" s="143">
        <v>115.76138899999999</v>
      </c>
      <c r="L291" s="143">
        <v>1967</v>
      </c>
      <c r="M291" s="143">
        <v>55</v>
      </c>
      <c r="N291" s="143">
        <v>0</v>
      </c>
      <c r="O291" s="143"/>
      <c r="P291" s="143"/>
      <c r="Q291" s="143" t="s">
        <v>159</v>
      </c>
      <c r="R291" s="143" t="s">
        <v>72</v>
      </c>
      <c r="S291" s="147"/>
      <c r="T291" s="143"/>
      <c r="U291" s="143"/>
      <c r="V291" s="143"/>
      <c r="W291" s="143"/>
      <c r="X291" s="143"/>
      <c r="Y291" s="143"/>
      <c r="Z291" s="143"/>
      <c r="AA291" s="143"/>
      <c r="AB291" s="143"/>
      <c r="AC291" s="143"/>
      <c r="AD291" s="153"/>
      <c r="AE291" s="153"/>
      <c r="AF291" s="143"/>
      <c r="AG291" s="155"/>
      <c r="AH291" s="150" t="s">
        <v>37</v>
      </c>
      <c r="AI291" s="151" t="s">
        <v>76</v>
      </c>
      <c r="AJ291" s="151" t="s">
        <v>70</v>
      </c>
      <c r="AK291" s="151" t="s">
        <v>70</v>
      </c>
      <c r="AL291" s="151" t="s">
        <v>118</v>
      </c>
      <c r="AM291" s="151" t="s">
        <v>70</v>
      </c>
      <c r="AN291" s="151" t="s">
        <v>70</v>
      </c>
      <c r="AO291" s="151" t="s">
        <v>70</v>
      </c>
      <c r="AP291" s="152"/>
      <c r="AQ291" s="153"/>
      <c r="AR291" s="153"/>
      <c r="AS291" s="153"/>
      <c r="AT291" s="153"/>
      <c r="AU291" s="154"/>
      <c r="AV291" s="153" t="s">
        <v>1028</v>
      </c>
      <c r="AW291" s="153" t="s">
        <v>106</v>
      </c>
      <c r="AX291" s="153" t="s">
        <v>106</v>
      </c>
      <c r="AY291" s="153" t="s">
        <v>106</v>
      </c>
      <c r="AZ291" s="153" t="s">
        <v>106</v>
      </c>
      <c r="BA291" s="154" t="s">
        <v>114</v>
      </c>
      <c r="BB291" s="152">
        <v>1319204</v>
      </c>
      <c r="BC291" s="153">
        <v>1319204</v>
      </c>
      <c r="BD291" s="153">
        <v>1319204</v>
      </c>
      <c r="BE291" s="157">
        <v>1319204</v>
      </c>
      <c r="BF291" s="157">
        <v>1219470</v>
      </c>
      <c r="BG291" s="157"/>
      <c r="BH291" s="155"/>
      <c r="BI291" s="152">
        <v>615658</v>
      </c>
      <c r="BJ291" s="153">
        <v>601148</v>
      </c>
      <c r="BK291" s="153">
        <v>722204</v>
      </c>
      <c r="BL291" s="153">
        <v>800136</v>
      </c>
      <c r="BM291" s="153">
        <v>697197</v>
      </c>
      <c r="BN291" s="154">
        <f>SUMIF(BI291:BM291,"&gt;0",BI291:BM291)</f>
        <v>3436343</v>
      </c>
      <c r="BO291" s="156"/>
      <c r="BP291" s="148"/>
      <c r="BQ291" s="153"/>
      <c r="BR291" s="153"/>
      <c r="BS291" s="152"/>
      <c r="BT291" s="148"/>
      <c r="BU291" s="148"/>
      <c r="BV291" s="148"/>
      <c r="BW291" s="148"/>
      <c r="BX291" s="154">
        <f>SUM(BS291:BW291)</f>
        <v>0</v>
      </c>
      <c r="BY291" s="143"/>
      <c r="BZ291" s="143"/>
      <c r="CA291" s="143"/>
      <c r="CB291" s="143"/>
      <c r="CC291" s="143"/>
      <c r="CD291" s="259"/>
    </row>
    <row r="292" spans="1:82" ht="14.5">
      <c r="A292" s="143" t="s">
        <v>465</v>
      </c>
      <c r="B292" s="143" t="s">
        <v>1602</v>
      </c>
      <c r="C292" s="144" t="s">
        <v>753</v>
      </c>
      <c r="D292" s="144" t="s">
        <v>1603</v>
      </c>
      <c r="E292" s="145" t="s">
        <v>754</v>
      </c>
      <c r="F292" s="143" t="str">
        <f>SUBSTITUTE(E292," ","")</f>
        <v>15129850139</v>
      </c>
      <c r="G292" s="143" t="s">
        <v>1604</v>
      </c>
      <c r="H292" s="143" t="s">
        <v>31</v>
      </c>
      <c r="I292" s="143">
        <v>2390</v>
      </c>
      <c r="J292" s="143">
        <v>-30.519968500000001</v>
      </c>
      <c r="K292" s="143">
        <v>149.90221220000001</v>
      </c>
      <c r="L292" s="143">
        <v>2012</v>
      </c>
      <c r="M292" s="143">
        <v>10</v>
      </c>
      <c r="N292" s="143">
        <v>2045</v>
      </c>
      <c r="O292" s="143"/>
      <c r="P292" s="143"/>
      <c r="Q292" s="143" t="s">
        <v>29</v>
      </c>
      <c r="R292" s="143" t="s">
        <v>29</v>
      </c>
      <c r="S292" s="147"/>
      <c r="T292" s="143"/>
      <c r="U292" s="143"/>
      <c r="V292" s="143"/>
      <c r="W292" s="143"/>
      <c r="X292" s="143"/>
      <c r="Y292" s="143"/>
      <c r="Z292" s="143"/>
      <c r="AA292" s="143"/>
      <c r="AB292" s="143"/>
      <c r="AC292" s="143"/>
      <c r="AD292" s="153"/>
      <c r="AE292" s="153"/>
      <c r="AF292" s="143"/>
      <c r="AG292" s="155"/>
      <c r="AH292" s="147" t="s">
        <v>26</v>
      </c>
      <c r="AI292" s="146" t="s">
        <v>36</v>
      </c>
      <c r="AJ292" s="146" t="s">
        <v>1111</v>
      </c>
      <c r="AK292" s="146" t="s">
        <v>33</v>
      </c>
      <c r="AL292" s="143" t="s">
        <v>99</v>
      </c>
      <c r="AM292" s="143" t="s">
        <v>63</v>
      </c>
      <c r="AN292" s="143">
        <v>9</v>
      </c>
      <c r="AO292" s="143"/>
      <c r="AP292" s="152"/>
      <c r="AQ292" s="153"/>
      <c r="AR292" s="153"/>
      <c r="AS292" s="153"/>
      <c r="AT292" s="153"/>
      <c r="AU292" s="154"/>
      <c r="AV292" s="153" t="s">
        <v>41</v>
      </c>
      <c r="AW292" s="153" t="s">
        <v>41</v>
      </c>
      <c r="AX292" s="153" t="s">
        <v>41</v>
      </c>
      <c r="AY292" s="153" t="s">
        <v>41</v>
      </c>
      <c r="AZ292" s="153" t="s">
        <v>73</v>
      </c>
      <c r="BA292" s="154" t="s">
        <v>73</v>
      </c>
      <c r="BB292" s="152">
        <v>527669</v>
      </c>
      <c r="BC292" s="153">
        <v>527669</v>
      </c>
      <c r="BD292" s="153">
        <v>527669</v>
      </c>
      <c r="BE292" s="157">
        <v>527669</v>
      </c>
      <c r="BF292" s="157">
        <v>1116113</v>
      </c>
      <c r="BG292" s="157"/>
      <c r="BH292" s="155"/>
      <c r="BI292" s="152">
        <v>428102</v>
      </c>
      <c r="BJ292" s="153">
        <v>364116</v>
      </c>
      <c r="BK292" s="153">
        <v>483690</v>
      </c>
      <c r="BL292" s="153">
        <v>507061</v>
      </c>
      <c r="BM292" s="153">
        <v>384304</v>
      </c>
      <c r="BN292" s="154">
        <f>SUMIF(BI292:BM292,"&gt;0",BI292:BM292)</f>
        <v>2167273</v>
      </c>
      <c r="BO292" s="156">
        <v>126511</v>
      </c>
      <c r="BP292" s="148">
        <v>151231</v>
      </c>
      <c r="BQ292" s="153">
        <v>158363</v>
      </c>
      <c r="BR292" s="153">
        <v>166552</v>
      </c>
      <c r="BS292" s="152">
        <v>7270000</v>
      </c>
      <c r="BT292" s="148">
        <v>6290000</v>
      </c>
      <c r="BU292" s="148">
        <v>6450000</v>
      </c>
      <c r="BV292" s="148">
        <v>6110000</v>
      </c>
      <c r="BW292" s="148">
        <v>4059000</v>
      </c>
      <c r="BX292" s="154">
        <f>SUM(BS292:BW292)</f>
        <v>30179000</v>
      </c>
      <c r="BY292" s="143">
        <f>BI292/BS292</f>
        <v>5.8886107290233837E-2</v>
      </c>
      <c r="BZ292" s="143">
        <f>BJ292/BT292</f>
        <v>5.7888076311605724E-2</v>
      </c>
      <c r="CA292" s="143">
        <f>BK292/BU292</f>
        <v>7.4990697674418599E-2</v>
      </c>
      <c r="CB292" s="143">
        <f>BL292/BV292</f>
        <v>8.2988707037643203E-2</v>
      </c>
      <c r="CC292" s="143">
        <f>BM292/BW292</f>
        <v>9.4679477703867948E-2</v>
      </c>
      <c r="CD292" s="259">
        <f>AVERAGE(BY292:CC292)</f>
        <v>7.3886613203553858E-2</v>
      </c>
    </row>
    <row r="293" spans="1:82" ht="14.5">
      <c r="A293" s="143" t="s">
        <v>561</v>
      </c>
      <c r="B293" s="143" t="s">
        <v>1941</v>
      </c>
      <c r="C293" s="144" t="s">
        <v>1942</v>
      </c>
      <c r="D293" s="144" t="s">
        <v>1603</v>
      </c>
      <c r="E293" s="145" t="s">
        <v>1943</v>
      </c>
      <c r="F293" s="143" t="str">
        <f>SUBSTITUTE(E293," ","")</f>
        <v>73100742185</v>
      </c>
      <c r="G293" s="143" t="s">
        <v>1141</v>
      </c>
      <c r="H293" s="143" t="s">
        <v>31</v>
      </c>
      <c r="I293" s="143">
        <v>2382</v>
      </c>
      <c r="J293" s="143">
        <v>-30.635943042099999</v>
      </c>
      <c r="K293" s="143">
        <v>150.16316108300001</v>
      </c>
      <c r="L293" s="143" t="s">
        <v>292</v>
      </c>
      <c r="M293" s="143" t="s">
        <v>292</v>
      </c>
      <c r="N293" s="143" t="s">
        <v>292</v>
      </c>
      <c r="O293" s="143" t="s">
        <v>35</v>
      </c>
      <c r="P293" s="143"/>
      <c r="Q293" s="143" t="s">
        <v>29</v>
      </c>
      <c r="R293" s="143" t="s">
        <v>29</v>
      </c>
      <c r="S293" s="147"/>
      <c r="T293" s="143"/>
      <c r="U293" s="143"/>
      <c r="V293" s="143"/>
      <c r="W293" s="143"/>
      <c r="X293" s="143"/>
      <c r="Y293" s="143"/>
      <c r="Z293" s="143"/>
      <c r="AA293" s="143"/>
      <c r="AB293" s="143"/>
      <c r="AC293" s="143"/>
      <c r="AD293" s="153"/>
      <c r="AE293" s="153"/>
      <c r="AF293" s="143"/>
      <c r="AG293" s="155"/>
      <c r="AH293" s="147" t="s">
        <v>26</v>
      </c>
      <c r="AI293" s="146" t="s">
        <v>25</v>
      </c>
      <c r="AJ293" s="146" t="s">
        <v>1189</v>
      </c>
      <c r="AK293" s="146" t="s">
        <v>21</v>
      </c>
      <c r="AL293" s="146" t="s">
        <v>99</v>
      </c>
      <c r="AM293" s="143"/>
      <c r="AN293" s="143"/>
      <c r="AO293" s="143"/>
      <c r="AP293" s="152"/>
      <c r="AQ293" s="153"/>
      <c r="AR293" s="153"/>
      <c r="AS293" s="153"/>
      <c r="AT293" s="153"/>
      <c r="AU293" s="154"/>
      <c r="AV293" s="153" t="s">
        <v>106</v>
      </c>
      <c r="AW293" s="153" t="s">
        <v>106</v>
      </c>
      <c r="AX293" s="153" t="s">
        <v>106</v>
      </c>
      <c r="AY293" s="153" t="s">
        <v>106</v>
      </c>
      <c r="AZ293" s="153" t="s">
        <v>106</v>
      </c>
      <c r="BA293" s="154" t="s">
        <v>114</v>
      </c>
      <c r="BB293" s="152">
        <v>125025</v>
      </c>
      <c r="BC293" s="153">
        <v>125025</v>
      </c>
      <c r="BD293" s="153">
        <v>125025</v>
      </c>
      <c r="BE293" s="153">
        <v>125025</v>
      </c>
      <c r="BF293" s="153">
        <v>125025</v>
      </c>
      <c r="BG293" s="157"/>
      <c r="BH293" s="155"/>
      <c r="BI293" s="152" t="s">
        <v>920</v>
      </c>
      <c r="BJ293" s="153" t="s">
        <v>920</v>
      </c>
      <c r="BK293" s="153" t="s">
        <v>920</v>
      </c>
      <c r="BL293" s="153" t="s">
        <v>920</v>
      </c>
      <c r="BM293" s="153" t="s">
        <v>920</v>
      </c>
      <c r="BN293" s="154">
        <f>SUMIF(BI293:BM293,"&gt;0",BI293:BM293)</f>
        <v>0</v>
      </c>
      <c r="BO293" s="156"/>
      <c r="BP293" s="148"/>
      <c r="BQ293" s="153"/>
      <c r="BR293" s="153"/>
      <c r="BS293" s="158">
        <v>1872836</v>
      </c>
      <c r="BT293" s="165">
        <v>2044658</v>
      </c>
      <c r="BU293" s="165">
        <v>2258954</v>
      </c>
      <c r="BV293" s="165">
        <v>2507031</v>
      </c>
      <c r="BW293" s="165">
        <v>2189672</v>
      </c>
      <c r="BX293" s="154">
        <f>SUM(BS293:BW293)</f>
        <v>10873151</v>
      </c>
      <c r="BY293" s="143" t="e">
        <f>BI293/BS293</f>
        <v>#VALUE!</v>
      </c>
      <c r="BZ293" s="143" t="e">
        <f>BJ293/BT293</f>
        <v>#VALUE!</v>
      </c>
      <c r="CA293" s="143" t="e">
        <f>BK293/BU293</f>
        <v>#VALUE!</v>
      </c>
      <c r="CB293" s="143" t="e">
        <f>BL293/BV293</f>
        <v>#VALUE!</v>
      </c>
      <c r="CC293" s="143" t="e">
        <f>BM293/BW293</f>
        <v>#VALUE!</v>
      </c>
      <c r="CD293" s="143" t="e">
        <f>AVERAGE(BY293:CC293)</f>
        <v>#VALUE!</v>
      </c>
    </row>
    <row r="294" spans="1:82" ht="14.5">
      <c r="A294" s="143" t="s">
        <v>585</v>
      </c>
      <c r="B294" s="143" t="s">
        <v>2009</v>
      </c>
      <c r="C294" s="144" t="s">
        <v>2010</v>
      </c>
      <c r="D294" s="159" t="s">
        <v>2011</v>
      </c>
      <c r="E294" s="145" t="s">
        <v>2012</v>
      </c>
      <c r="F294" s="143" t="str">
        <f>SUBSTITUTE(E294," ","")</f>
        <v>69107169102</v>
      </c>
      <c r="G294" s="143" t="s">
        <v>2013</v>
      </c>
      <c r="H294" s="143" t="s">
        <v>31</v>
      </c>
      <c r="I294" s="143">
        <v>2341</v>
      </c>
      <c r="J294" s="143">
        <v>-31.386109000000001</v>
      </c>
      <c r="K294" s="143">
        <v>150.634974</v>
      </c>
      <c r="L294" s="143" t="s">
        <v>292</v>
      </c>
      <c r="M294" s="143" t="s">
        <v>292</v>
      </c>
      <c r="N294" s="143" t="s">
        <v>292</v>
      </c>
      <c r="O294" s="143"/>
      <c r="P294" s="143"/>
      <c r="Q294" s="143" t="s">
        <v>29</v>
      </c>
      <c r="R294" s="143" t="s">
        <v>29</v>
      </c>
      <c r="S294" s="147"/>
      <c r="T294" s="143"/>
      <c r="U294" s="143"/>
      <c r="V294" s="143"/>
      <c r="W294" s="143"/>
      <c r="X294" s="143"/>
      <c r="Y294" s="143"/>
      <c r="Z294" s="143"/>
      <c r="AA294" s="143"/>
      <c r="AB294" s="143"/>
      <c r="AC294" s="143"/>
      <c r="AD294" s="153"/>
      <c r="AE294" s="153"/>
      <c r="AF294" s="143"/>
      <c r="AG294" s="155"/>
      <c r="AH294" s="147" t="s">
        <v>26</v>
      </c>
      <c r="AI294" s="146" t="s">
        <v>69</v>
      </c>
      <c r="AJ294" s="146" t="s">
        <v>2014</v>
      </c>
      <c r="AK294" s="146" t="s">
        <v>21</v>
      </c>
      <c r="AL294" s="146" t="s">
        <v>99</v>
      </c>
      <c r="AM294" s="143"/>
      <c r="AN294" s="143"/>
      <c r="AO294" s="143"/>
      <c r="AP294" s="152"/>
      <c r="AQ294" s="153"/>
      <c r="AR294" s="153"/>
      <c r="AS294" s="153"/>
      <c r="AT294" s="153"/>
      <c r="AU294" s="154"/>
      <c r="AV294" s="153" t="s">
        <v>106</v>
      </c>
      <c r="AW294" s="153" t="s">
        <v>106</v>
      </c>
      <c r="AX294" s="153" t="s">
        <v>106</v>
      </c>
      <c r="AY294" s="153" t="s">
        <v>106</v>
      </c>
      <c r="AZ294" s="153" t="s">
        <v>106</v>
      </c>
      <c r="BA294" s="154" t="s">
        <v>114</v>
      </c>
      <c r="BB294" s="152">
        <v>130642</v>
      </c>
      <c r="BC294" s="153">
        <v>130642</v>
      </c>
      <c r="BD294" s="153">
        <v>130642</v>
      </c>
      <c r="BE294" s="153">
        <v>130642</v>
      </c>
      <c r="BF294" s="153">
        <v>130642</v>
      </c>
      <c r="BG294" s="157"/>
      <c r="BH294" s="155"/>
      <c r="BI294" s="152" t="s">
        <v>920</v>
      </c>
      <c r="BJ294" s="153" t="s">
        <v>920</v>
      </c>
      <c r="BK294" s="153" t="s">
        <v>920</v>
      </c>
      <c r="BL294" s="153" t="s">
        <v>920</v>
      </c>
      <c r="BM294" s="153" t="s">
        <v>920</v>
      </c>
      <c r="BN294" s="154">
        <f>SUMIF(BI294:BM294,"&gt;0",BI294:BM294)</f>
        <v>0</v>
      </c>
      <c r="BO294" s="156"/>
      <c r="BP294" s="148"/>
      <c r="BQ294" s="153"/>
      <c r="BR294" s="153"/>
      <c r="BS294" s="158">
        <v>1867752</v>
      </c>
      <c r="BT294" s="165">
        <v>1804869</v>
      </c>
      <c r="BU294" s="165">
        <v>1499822</v>
      </c>
      <c r="BV294" s="165">
        <v>2005043</v>
      </c>
      <c r="BW294" s="165">
        <v>1491960</v>
      </c>
      <c r="BX294" s="154">
        <f>SUM(BS294:BW294)</f>
        <v>8669446</v>
      </c>
      <c r="BY294" s="143" t="e">
        <f>BI294/BS294</f>
        <v>#VALUE!</v>
      </c>
      <c r="BZ294" s="143" t="e">
        <f>BJ294/BT294</f>
        <v>#VALUE!</v>
      </c>
      <c r="CA294" s="143" t="e">
        <f>BK294/BU294</f>
        <v>#VALUE!</v>
      </c>
      <c r="CB294" s="143" t="e">
        <f>BL294/BV294</f>
        <v>#VALUE!</v>
      </c>
      <c r="CC294" s="143" t="e">
        <f>BM294/BW294</f>
        <v>#VALUE!</v>
      </c>
      <c r="CD294" s="143" t="e">
        <f>AVERAGE(BY294:CC294)</f>
        <v>#VALUE!</v>
      </c>
    </row>
    <row r="295" spans="1:82" ht="14.5">
      <c r="A295" s="143" t="s">
        <v>440</v>
      </c>
      <c r="B295" s="143" t="s">
        <v>1523</v>
      </c>
      <c r="C295" s="144" t="s">
        <v>729</v>
      </c>
      <c r="D295" s="144" t="s">
        <v>1524</v>
      </c>
      <c r="E295" s="145" t="s">
        <v>730</v>
      </c>
      <c r="F295" s="143" t="str">
        <f>SUBSTITUTE(E295," ","")</f>
        <v>70140533875</v>
      </c>
      <c r="G295" s="143" t="s">
        <v>1141</v>
      </c>
      <c r="H295" s="143" t="s">
        <v>31</v>
      </c>
      <c r="I295" s="143">
        <v>2382</v>
      </c>
      <c r="J295" s="143">
        <v>-30.565995000000001</v>
      </c>
      <c r="K295" s="143">
        <v>150.14594700000001</v>
      </c>
      <c r="L295" s="143">
        <v>2015</v>
      </c>
      <c r="M295" s="143">
        <v>7</v>
      </c>
      <c r="N295" s="143">
        <v>2034</v>
      </c>
      <c r="O295" s="143"/>
      <c r="P295" s="143"/>
      <c r="Q295" s="143" t="s">
        <v>29</v>
      </c>
      <c r="R295" s="143" t="s">
        <v>29</v>
      </c>
      <c r="S295" s="147"/>
      <c r="T295" s="143"/>
      <c r="U295" s="143"/>
      <c r="V295" s="143"/>
      <c r="W295" s="143"/>
      <c r="X295" s="143"/>
      <c r="Y295" s="143"/>
      <c r="Z295" s="143"/>
      <c r="AA295" s="143"/>
      <c r="AB295" s="143"/>
      <c r="AC295" s="143"/>
      <c r="AD295" s="153"/>
      <c r="AE295" s="153"/>
      <c r="AF295" s="143"/>
      <c r="AG295" s="155"/>
      <c r="AH295" s="147" t="s">
        <v>26</v>
      </c>
      <c r="AI295" s="146" t="s">
        <v>25</v>
      </c>
      <c r="AJ295" s="146" t="s">
        <v>1525</v>
      </c>
      <c r="AK295" s="146" t="s">
        <v>21</v>
      </c>
      <c r="AL295" s="143" t="s">
        <v>99</v>
      </c>
      <c r="AM295" s="143"/>
      <c r="AN295" s="143"/>
      <c r="AO295" s="143"/>
      <c r="AP295" s="152"/>
      <c r="AQ295" s="153"/>
      <c r="AR295" s="153"/>
      <c r="AS295" s="153"/>
      <c r="AT295" s="153"/>
      <c r="AU295" s="154"/>
      <c r="AV295" s="153" t="s">
        <v>59</v>
      </c>
      <c r="AW295" s="153" t="s">
        <v>59</v>
      </c>
      <c r="AX295" s="153" t="s">
        <v>59</v>
      </c>
      <c r="AY295" s="153" t="s">
        <v>59</v>
      </c>
      <c r="AZ295" s="153" t="s">
        <v>73</v>
      </c>
      <c r="BA295" s="154" t="s">
        <v>73</v>
      </c>
      <c r="BB295" s="152">
        <v>930747</v>
      </c>
      <c r="BC295" s="153">
        <v>930747</v>
      </c>
      <c r="BD295" s="153">
        <v>930747</v>
      </c>
      <c r="BE295" s="157">
        <v>930747</v>
      </c>
      <c r="BF295" s="157">
        <v>367513</v>
      </c>
      <c r="BG295" s="157"/>
      <c r="BH295" s="155"/>
      <c r="BI295" s="152">
        <v>707679</v>
      </c>
      <c r="BJ295" s="153">
        <v>827915</v>
      </c>
      <c r="BK295" s="153">
        <v>882912</v>
      </c>
      <c r="BL295" s="153">
        <v>840834</v>
      </c>
      <c r="BM295" s="153">
        <v>304625</v>
      </c>
      <c r="BN295" s="154">
        <f>SUMIF(BI295:BM295,"&gt;0",BI295:BM295)</f>
        <v>3563965</v>
      </c>
      <c r="BO295" s="156">
        <v>197404</v>
      </c>
      <c r="BP295" s="148">
        <v>197404</v>
      </c>
      <c r="BQ295" s="153">
        <v>197404</v>
      </c>
      <c r="BR295" s="153">
        <v>197404</v>
      </c>
      <c r="BS295" s="152">
        <v>10494587</v>
      </c>
      <c r="BT295" s="148">
        <v>12064021</v>
      </c>
      <c r="BU295" s="148">
        <v>9690770</v>
      </c>
      <c r="BV295" s="148">
        <v>11746975</v>
      </c>
      <c r="BW295" s="148">
        <v>12664000</v>
      </c>
      <c r="BX295" s="154">
        <f>SUM(BS295:BW295)</f>
        <v>56660353</v>
      </c>
      <c r="BY295" s="143">
        <f>BI295/BS295</f>
        <v>6.7432763194968992E-2</v>
      </c>
      <c r="BZ295" s="143">
        <f>BJ295/BT295</f>
        <v>6.862678703891513E-2</v>
      </c>
      <c r="CA295" s="143">
        <f>BK295/BU295</f>
        <v>9.1108549681810633E-2</v>
      </c>
      <c r="CB295" s="143">
        <f>BL295/BV295</f>
        <v>7.1578768150949504E-2</v>
      </c>
      <c r="CC295" s="143">
        <f>BM295/BW295</f>
        <v>2.4054406190777006E-2</v>
      </c>
      <c r="CD295" s="259">
        <f>AVERAGE(BY295:CC295)</f>
        <v>6.4560254851484242E-2</v>
      </c>
    </row>
    <row r="296" spans="1:82" ht="14.5">
      <c r="A296" s="143" t="s">
        <v>594</v>
      </c>
      <c r="B296" s="143" t="s">
        <v>2033</v>
      </c>
      <c r="C296" s="144" t="s">
        <v>2034</v>
      </c>
      <c r="D296" s="144" t="s">
        <v>2035</v>
      </c>
      <c r="E296" s="145" t="s">
        <v>2036</v>
      </c>
      <c r="F296" s="143" t="str">
        <f>SUBSTITUTE(E296," ","")</f>
        <v>77111928762</v>
      </c>
      <c r="G296" s="143" t="s">
        <v>2037</v>
      </c>
      <c r="H296" s="143" t="s">
        <v>31</v>
      </c>
      <c r="I296" s="143">
        <v>2530</v>
      </c>
      <c r="J296" s="143">
        <v>-34.477663</v>
      </c>
      <c r="K296" s="143">
        <v>150.75935000000001</v>
      </c>
      <c r="L296" s="143" t="s">
        <v>292</v>
      </c>
      <c r="M296" s="143" t="s">
        <v>292</v>
      </c>
      <c r="N296" s="143" t="s">
        <v>292</v>
      </c>
      <c r="O296" s="143" t="s">
        <v>55</v>
      </c>
      <c r="P296" s="173" t="s">
        <v>2083</v>
      </c>
      <c r="Q296" s="143" t="s">
        <v>29</v>
      </c>
      <c r="R296" s="143" t="s">
        <v>29</v>
      </c>
      <c r="S296" s="147"/>
      <c r="T296" s="143"/>
      <c r="U296" s="143"/>
      <c r="V296" s="143"/>
      <c r="W296" s="143"/>
      <c r="X296" s="143"/>
      <c r="Y296" s="143"/>
      <c r="Z296" s="143"/>
      <c r="AA296" s="143"/>
      <c r="AB296" s="143"/>
      <c r="AC296" s="143"/>
      <c r="AD296" s="153"/>
      <c r="AE296" s="153"/>
      <c r="AF296" s="143"/>
      <c r="AG296" s="155"/>
      <c r="AH296" s="147" t="s">
        <v>26</v>
      </c>
      <c r="AI296" s="146" t="s">
        <v>69</v>
      </c>
      <c r="AJ296" s="146" t="s">
        <v>1630</v>
      </c>
      <c r="AK296" s="146" t="s">
        <v>33</v>
      </c>
      <c r="AL296" s="146" t="s">
        <v>134</v>
      </c>
      <c r="AM296" s="143"/>
      <c r="AN296" s="143"/>
      <c r="AO296" s="143"/>
      <c r="AP296" s="152"/>
      <c r="AQ296" s="153"/>
      <c r="AR296" s="153"/>
      <c r="AS296" s="153"/>
      <c r="AT296" s="153"/>
      <c r="AU296" s="154"/>
      <c r="AV296" s="153" t="s">
        <v>106</v>
      </c>
      <c r="AW296" s="153" t="s">
        <v>106</v>
      </c>
      <c r="AX296" s="153" t="s">
        <v>106</v>
      </c>
      <c r="AY296" s="153" t="s">
        <v>106</v>
      </c>
      <c r="AZ296" s="153" t="s">
        <v>106</v>
      </c>
      <c r="BA296" s="154" t="s">
        <v>114</v>
      </c>
      <c r="BB296" s="152">
        <v>294217</v>
      </c>
      <c r="BC296" s="153">
        <v>294217</v>
      </c>
      <c r="BD296" s="153">
        <v>294217</v>
      </c>
      <c r="BE296" s="153">
        <v>294217</v>
      </c>
      <c r="BF296" s="153">
        <v>294217</v>
      </c>
      <c r="BG296" s="157"/>
      <c r="BH296" s="155"/>
      <c r="BI296" s="152" t="s">
        <v>920</v>
      </c>
      <c r="BJ296" s="153" t="s">
        <v>920</v>
      </c>
      <c r="BK296" s="153" t="s">
        <v>920</v>
      </c>
      <c r="BL296" s="153" t="s">
        <v>920</v>
      </c>
      <c r="BM296" s="153" t="s">
        <v>920</v>
      </c>
      <c r="BN296" s="154">
        <f>SUMIF(BI296:BM296,"&gt;0",BI296:BM296)</f>
        <v>0</v>
      </c>
      <c r="BO296" s="156"/>
      <c r="BP296" s="148"/>
      <c r="BQ296" s="153"/>
      <c r="BR296" s="153"/>
      <c r="BS296" s="158">
        <v>332592</v>
      </c>
      <c r="BT296" s="165">
        <v>199839</v>
      </c>
      <c r="BU296" s="165">
        <v>140187</v>
      </c>
      <c r="BV296" s="148">
        <v>0</v>
      </c>
      <c r="BW296" s="148">
        <v>0</v>
      </c>
      <c r="BX296" s="154">
        <f>SUM(BS296:BW296)</f>
        <v>672618</v>
      </c>
      <c r="BY296" s="143" t="e">
        <f>BI296/BS296</f>
        <v>#VALUE!</v>
      </c>
      <c r="BZ296" s="143" t="e">
        <f>BJ296/BT296</f>
        <v>#VALUE!</v>
      </c>
      <c r="CA296" s="143" t="e">
        <f>BK296/BU296</f>
        <v>#VALUE!</v>
      </c>
      <c r="CB296" s="143" t="e">
        <f>BL296/BV296</f>
        <v>#VALUE!</v>
      </c>
      <c r="CC296" s="143" t="e">
        <f>BM296/BW296</f>
        <v>#VALUE!</v>
      </c>
      <c r="CD296" s="143" t="e">
        <f>AVERAGE(BY296:CC296)</f>
        <v>#VALUE!</v>
      </c>
    </row>
    <row r="297" spans="1:82" ht="14.5">
      <c r="A297" s="143" t="s">
        <v>503</v>
      </c>
      <c r="B297" s="143" t="s">
        <v>1268</v>
      </c>
      <c r="C297" s="144" t="s">
        <v>780</v>
      </c>
      <c r="D297" s="159" t="s">
        <v>1729</v>
      </c>
      <c r="E297" s="145" t="s">
        <v>781</v>
      </c>
      <c r="F297" s="143" t="str">
        <f>SUBSTITUTE(E297," ","")</f>
        <v>20120237416</v>
      </c>
      <c r="G297" s="143" t="s">
        <v>1730</v>
      </c>
      <c r="H297" s="143" t="s">
        <v>81</v>
      </c>
      <c r="I297" s="143">
        <v>6714</v>
      </c>
      <c r="J297" s="143">
        <v>-19.996261000000001</v>
      </c>
      <c r="K297" s="143">
        <v>115.368216</v>
      </c>
      <c r="L297" s="143">
        <v>2012</v>
      </c>
      <c r="M297" s="143">
        <v>10</v>
      </c>
      <c r="N297" s="143">
        <v>0</v>
      </c>
      <c r="O297" s="143"/>
      <c r="P297" s="143"/>
      <c r="Q297" s="143" t="s">
        <v>121</v>
      </c>
      <c r="R297" s="143" t="s">
        <v>58</v>
      </c>
      <c r="S297" s="147" t="s">
        <v>612</v>
      </c>
      <c r="T297" s="143">
        <v>4</v>
      </c>
      <c r="U297" s="143" t="s">
        <v>1731</v>
      </c>
      <c r="V297" s="143" t="s">
        <v>1732</v>
      </c>
      <c r="W297" s="143" t="s">
        <v>1733</v>
      </c>
      <c r="X297" s="143" t="s">
        <v>1734</v>
      </c>
      <c r="Y297" s="143" t="s">
        <v>1735</v>
      </c>
      <c r="Z297" s="143" t="s">
        <v>1736</v>
      </c>
      <c r="AA297" s="143" t="s">
        <v>1737</v>
      </c>
      <c r="AB297" s="153">
        <f>257596+385104+208965+39308</f>
        <v>890973</v>
      </c>
      <c r="AC297" s="153" t="s">
        <v>1044</v>
      </c>
      <c r="AD297" s="153"/>
      <c r="AE297" s="153"/>
      <c r="AF297" s="143" t="s">
        <v>1045</v>
      </c>
      <c r="AG297" s="155" t="s">
        <v>1738</v>
      </c>
      <c r="AH297" s="147" t="s">
        <v>26</v>
      </c>
      <c r="AI297" s="151" t="s">
        <v>76</v>
      </c>
      <c r="AJ297" s="146"/>
      <c r="AK297" s="146" t="s">
        <v>292</v>
      </c>
      <c r="AL297" s="146" t="s">
        <v>292</v>
      </c>
      <c r="AM297" s="143"/>
      <c r="AN297" s="143"/>
      <c r="AO297" s="143"/>
      <c r="AP297" s="152" t="s">
        <v>26</v>
      </c>
      <c r="AQ297" s="153" t="s">
        <v>37</v>
      </c>
      <c r="AR297" s="148" t="s">
        <v>1094</v>
      </c>
      <c r="AS297" s="160" t="str">
        <f>IF(BM297&gt;(BL297*1.1),"yes","no")</f>
        <v>no</v>
      </c>
      <c r="AT297" s="160" t="str">
        <f>IF(BM297&gt;(BI297*1.1),"yes","no")</f>
        <v>no</v>
      </c>
      <c r="AU297" s="154">
        <v>0</v>
      </c>
      <c r="AV297" s="153" t="s">
        <v>1028</v>
      </c>
      <c r="AW297" s="153" t="s">
        <v>106</v>
      </c>
      <c r="AX297" s="153" t="s">
        <v>106</v>
      </c>
      <c r="AY297" s="153" t="s">
        <v>106</v>
      </c>
      <c r="AZ297" s="153" t="s">
        <v>80</v>
      </c>
      <c r="BA297" s="154" t="s">
        <v>80</v>
      </c>
      <c r="BB297" s="152">
        <v>2385534</v>
      </c>
      <c r="BC297" s="153">
        <v>2385534</v>
      </c>
      <c r="BD297" s="153">
        <v>2385534</v>
      </c>
      <c r="BE297" s="157">
        <v>2385534</v>
      </c>
      <c r="BF297" s="157">
        <v>1931846</v>
      </c>
      <c r="BG297" s="157"/>
      <c r="BH297" s="155"/>
      <c r="BI297" s="152">
        <v>1967704</v>
      </c>
      <c r="BJ297" s="153">
        <v>1931136</v>
      </c>
      <c r="BK297" s="153">
        <v>1747412</v>
      </c>
      <c r="BL297" s="153">
        <v>1862948</v>
      </c>
      <c r="BM297" s="153">
        <v>1945741</v>
      </c>
      <c r="BN297" s="154">
        <f>SUMIF(BI297:BM297,"&gt;0",BI297:BM297)</f>
        <v>9454941</v>
      </c>
      <c r="BO297" s="156">
        <v>1610000</v>
      </c>
      <c r="BP297" s="148">
        <v>1610000</v>
      </c>
      <c r="BQ297" s="153">
        <v>1610000</v>
      </c>
      <c r="BR297" s="153">
        <v>1610000</v>
      </c>
      <c r="BS297" s="152"/>
      <c r="BT297" s="148"/>
      <c r="BU297" s="148"/>
      <c r="BV297" s="148"/>
      <c r="BW297" s="148"/>
      <c r="BX297" s="154">
        <f>SUM(BS297:BW297)</f>
        <v>0</v>
      </c>
      <c r="BY297" s="143"/>
      <c r="BZ297" s="143"/>
      <c r="CA297" s="143"/>
      <c r="CB297" s="143"/>
      <c r="CC297" s="143"/>
      <c r="CD297" s="259"/>
    </row>
    <row r="298" spans="1:82" ht="14.5">
      <c r="A298" s="143" t="s">
        <v>578</v>
      </c>
      <c r="B298" s="143" t="s">
        <v>1268</v>
      </c>
      <c r="C298" s="144" t="s">
        <v>768</v>
      </c>
      <c r="D298" s="159" t="s">
        <v>1729</v>
      </c>
      <c r="E298" s="145" t="s">
        <v>769</v>
      </c>
      <c r="F298" s="143" t="str">
        <f>SUBSTITUTE(E298," ","")</f>
        <v>63005482986</v>
      </c>
      <c r="G298" s="143" t="s">
        <v>292</v>
      </c>
      <c r="H298" s="143" t="s">
        <v>81</v>
      </c>
      <c r="I298" s="143" t="s">
        <v>292</v>
      </c>
      <c r="J298" s="143" t="s">
        <v>292</v>
      </c>
      <c r="K298" s="143" t="s">
        <v>292</v>
      </c>
      <c r="L298" s="143">
        <v>2008</v>
      </c>
      <c r="M298" s="143">
        <v>14</v>
      </c>
      <c r="N298" s="143">
        <v>0</v>
      </c>
      <c r="O298" s="143"/>
      <c r="P298" s="143"/>
      <c r="Q298" s="143" t="s">
        <v>121</v>
      </c>
      <c r="R298" s="143" t="s">
        <v>58</v>
      </c>
      <c r="S298" s="147"/>
      <c r="T298" s="143"/>
      <c r="U298" s="143"/>
      <c r="V298" s="143"/>
      <c r="W298" s="143"/>
      <c r="X298" s="143"/>
      <c r="Y298" s="143"/>
      <c r="Z298" s="143"/>
      <c r="AA298" s="143"/>
      <c r="AB298" s="143"/>
      <c r="AC298" s="143"/>
      <c r="AD298" s="153"/>
      <c r="AE298" s="153"/>
      <c r="AF298" s="143"/>
      <c r="AG298" s="155"/>
      <c r="AH298" s="147" t="s">
        <v>26</v>
      </c>
      <c r="AI298" s="151" t="s">
        <v>76</v>
      </c>
      <c r="AJ298" s="146"/>
      <c r="AK298" s="146" t="s">
        <v>292</v>
      </c>
      <c r="AL298" s="146" t="s">
        <v>292</v>
      </c>
      <c r="AM298" s="143"/>
      <c r="AN298" s="143"/>
      <c r="AO298" s="143"/>
      <c r="AP298" s="152" t="s">
        <v>26</v>
      </c>
      <c r="AQ298" s="153" t="s">
        <v>37</v>
      </c>
      <c r="AR298" s="148" t="s">
        <v>1094</v>
      </c>
      <c r="AS298" s="160" t="str">
        <f>IF(BM298&gt;(BJ298*1.1),"yes","no")</f>
        <v>yes</v>
      </c>
      <c r="AT298" s="160" t="str">
        <f>IF(BM298&gt;(BI298*1.1),"yes","no")</f>
        <v>yes</v>
      </c>
      <c r="AU298" s="154">
        <v>0</v>
      </c>
      <c r="AV298" s="153" t="s">
        <v>1028</v>
      </c>
      <c r="AW298" s="153" t="s">
        <v>106</v>
      </c>
      <c r="AX298" s="153" t="s">
        <v>106</v>
      </c>
      <c r="AY298" s="153" t="s">
        <v>106</v>
      </c>
      <c r="AZ298" s="153" t="s">
        <v>80</v>
      </c>
      <c r="BA298" s="154" t="s">
        <v>80</v>
      </c>
      <c r="BB298" s="152">
        <v>598755</v>
      </c>
      <c r="BC298" s="153">
        <v>598755</v>
      </c>
      <c r="BD298" s="153">
        <v>598755</v>
      </c>
      <c r="BE298" s="157">
        <v>598755</v>
      </c>
      <c r="BF298" s="157">
        <v>313920</v>
      </c>
      <c r="BG298" s="157"/>
      <c r="BH298" s="155"/>
      <c r="BI298" s="152">
        <v>296976</v>
      </c>
      <c r="BJ298" s="153">
        <v>192623</v>
      </c>
      <c r="BK298" s="153" t="s">
        <v>920</v>
      </c>
      <c r="BL298" s="153">
        <v>453252</v>
      </c>
      <c r="BM298" s="153">
        <v>353008</v>
      </c>
      <c r="BN298" s="154">
        <f>SUMIF(BI298:BM298,"&gt;0",BI298:BM298)</f>
        <v>1295859</v>
      </c>
      <c r="BO298" s="156">
        <v>350000</v>
      </c>
      <c r="BP298" s="148">
        <v>350000</v>
      </c>
      <c r="BQ298" s="153">
        <v>350000</v>
      </c>
      <c r="BR298" s="153">
        <v>350000</v>
      </c>
      <c r="BS298" s="152"/>
      <c r="BT298" s="148"/>
      <c r="BU298" s="148"/>
      <c r="BV298" s="148"/>
      <c r="BW298" s="148"/>
      <c r="BX298" s="154">
        <f>SUM(BS298:BW298)</f>
        <v>0</v>
      </c>
      <c r="BY298" s="143"/>
      <c r="BZ298" s="143"/>
      <c r="CA298" s="143"/>
      <c r="CB298" s="143"/>
      <c r="CC298" s="143"/>
      <c r="CD298" s="143"/>
    </row>
    <row r="299" spans="1:82" ht="14.5">
      <c r="A299" s="143" t="s">
        <v>377</v>
      </c>
      <c r="B299" s="143" t="s">
        <v>1304</v>
      </c>
      <c r="C299" s="144" t="s">
        <v>1305</v>
      </c>
      <c r="D299" s="144" t="s">
        <v>1306</v>
      </c>
      <c r="E299" s="145" t="s">
        <v>769</v>
      </c>
      <c r="F299" s="143" t="str">
        <f>SUBSTITUTE(E299," ","")</f>
        <v>63005482986</v>
      </c>
      <c r="G299" s="143" t="s">
        <v>1050</v>
      </c>
      <c r="H299" s="143" t="s">
        <v>81</v>
      </c>
      <c r="I299" s="143">
        <v>6707</v>
      </c>
      <c r="J299" s="143">
        <v>-21.481496</v>
      </c>
      <c r="K299" s="143">
        <v>113.988069</v>
      </c>
      <c r="L299" s="143" t="s">
        <v>292</v>
      </c>
      <c r="M299" s="143" t="s">
        <v>292</v>
      </c>
      <c r="N299" s="143" t="s">
        <v>292</v>
      </c>
      <c r="O299" s="143"/>
      <c r="P299" s="143"/>
      <c r="Q299" s="143" t="s">
        <v>121</v>
      </c>
      <c r="R299" s="143" t="s">
        <v>58</v>
      </c>
      <c r="S299" s="147"/>
      <c r="T299" s="143"/>
      <c r="U299" s="143"/>
      <c r="V299" s="143"/>
      <c r="W299" s="143"/>
      <c r="X299" s="143"/>
      <c r="Y299" s="143"/>
      <c r="Z299" s="143"/>
      <c r="AA299" s="143"/>
      <c r="AB299" s="143"/>
      <c r="AC299" s="143"/>
      <c r="AD299" s="153"/>
      <c r="AE299" s="153"/>
      <c r="AF299" s="143"/>
      <c r="AG299" s="155"/>
      <c r="AH299" s="147" t="s">
        <v>26</v>
      </c>
      <c r="AI299" s="151" t="s">
        <v>76</v>
      </c>
      <c r="AJ299" s="146"/>
      <c r="AK299" s="146" t="s">
        <v>292</v>
      </c>
      <c r="AL299" s="146" t="s">
        <v>292</v>
      </c>
      <c r="AM299" s="143"/>
      <c r="AN299" s="143"/>
      <c r="AO299" s="143"/>
      <c r="AP299" s="152"/>
      <c r="AQ299" s="153"/>
      <c r="AR299" s="153"/>
      <c r="AS299" s="153"/>
      <c r="AT299" s="153"/>
      <c r="AU299" s="154"/>
      <c r="AV299" s="153" t="s">
        <v>1028</v>
      </c>
      <c r="AW299" s="153" t="s">
        <v>1028</v>
      </c>
      <c r="AX299" s="153" t="s">
        <v>1028</v>
      </c>
      <c r="AY299" s="153" t="s">
        <v>1028</v>
      </c>
      <c r="AZ299" s="153" t="s">
        <v>1028</v>
      </c>
      <c r="BA299" s="154" t="s">
        <v>114</v>
      </c>
      <c r="BB299" s="152">
        <v>207453</v>
      </c>
      <c r="BC299" s="153">
        <v>309673</v>
      </c>
      <c r="BD299" s="153">
        <v>309673</v>
      </c>
      <c r="BE299" s="157">
        <v>309673</v>
      </c>
      <c r="BF299" s="157">
        <v>309673</v>
      </c>
      <c r="BG299" s="157"/>
      <c r="BH299" s="155"/>
      <c r="BI299" s="152">
        <v>211235</v>
      </c>
      <c r="BJ299" s="153">
        <v>200381</v>
      </c>
      <c r="BK299" s="153" t="s">
        <v>920</v>
      </c>
      <c r="BL299" s="153" t="s">
        <v>920</v>
      </c>
      <c r="BM299" s="153" t="s">
        <v>920</v>
      </c>
      <c r="BN299" s="154">
        <f>SUMIF(BI299:BM299,"&gt;0",BI299:BM299)</f>
        <v>411616</v>
      </c>
      <c r="BO299" s="156"/>
      <c r="BP299" s="148"/>
      <c r="BQ299" s="153"/>
      <c r="BR299" s="153"/>
      <c r="BS299" s="152"/>
      <c r="BT299" s="148"/>
      <c r="BU299" s="148"/>
      <c r="BV299" s="148"/>
      <c r="BW299" s="148"/>
      <c r="BX299" s="154">
        <f>SUM(BS299:BW299)</f>
        <v>0</v>
      </c>
      <c r="BY299" s="143"/>
      <c r="BZ299" s="143"/>
      <c r="CA299" s="143"/>
      <c r="CB299" s="143"/>
      <c r="CC299" s="143"/>
      <c r="CD299" s="259"/>
    </row>
    <row r="300" spans="1:82" ht="14.5">
      <c r="A300" s="143" t="s">
        <v>299</v>
      </c>
      <c r="B300" s="143" t="s">
        <v>1047</v>
      </c>
      <c r="C300" s="144" t="s">
        <v>1048</v>
      </c>
      <c r="D300" s="144" t="s">
        <v>1049</v>
      </c>
      <c r="E300" s="145" t="s">
        <v>613</v>
      </c>
      <c r="F300" s="143" t="str">
        <f>SUBSTITUTE(E300," ","")</f>
        <v>97006918832</v>
      </c>
      <c r="G300" s="143" t="s">
        <v>1050</v>
      </c>
      <c r="H300" s="143" t="s">
        <v>81</v>
      </c>
      <c r="I300" s="143">
        <v>6707</v>
      </c>
      <c r="J300" s="143">
        <v>-21.516666666700001</v>
      </c>
      <c r="K300" s="143">
        <v>114.116666667</v>
      </c>
      <c r="L300" s="143" t="s">
        <v>292</v>
      </c>
      <c r="M300" s="143" t="s">
        <v>292</v>
      </c>
      <c r="N300" s="143" t="s">
        <v>292</v>
      </c>
      <c r="O300" s="143"/>
      <c r="P300" s="143"/>
      <c r="Q300" s="143" t="s">
        <v>121</v>
      </c>
      <c r="R300" s="143" t="s">
        <v>58</v>
      </c>
      <c r="S300" s="147"/>
      <c r="T300" s="143"/>
      <c r="U300" s="143"/>
      <c r="V300" s="143"/>
      <c r="W300" s="143"/>
      <c r="X300" s="143"/>
      <c r="Y300" s="143"/>
      <c r="Z300" s="143"/>
      <c r="AA300" s="143"/>
      <c r="AB300" s="143"/>
      <c r="AC300" s="143"/>
      <c r="AD300" s="153"/>
      <c r="AE300" s="153"/>
      <c r="AF300" s="143"/>
      <c r="AG300" s="155"/>
      <c r="AH300" s="147" t="s">
        <v>26</v>
      </c>
      <c r="AI300" s="151" t="s">
        <v>76</v>
      </c>
      <c r="AJ300" s="146"/>
      <c r="AK300" s="146" t="s">
        <v>292</v>
      </c>
      <c r="AL300" s="146" t="s">
        <v>292</v>
      </c>
      <c r="AM300" s="143"/>
      <c r="AN300" s="143"/>
      <c r="AO300" s="143"/>
      <c r="AP300" s="152" t="s">
        <v>26</v>
      </c>
      <c r="AQ300" s="153" t="s">
        <v>26</v>
      </c>
      <c r="AR300" s="160" t="str">
        <f>IF(BF300&gt;(BB300*1.1),"yes","no")</f>
        <v>no</v>
      </c>
      <c r="AS300" s="160" t="str">
        <f>IF(BM300&gt;(BJ300*1.1),"yes","no")</f>
        <v>no</v>
      </c>
      <c r="AT300" s="160" t="str">
        <f>IF(BM300&gt;(BI300*1.1),"yes","no")</f>
        <v>no</v>
      </c>
      <c r="AU300" s="154">
        <v>0</v>
      </c>
      <c r="AV300" s="153" t="s">
        <v>52</v>
      </c>
      <c r="AW300" s="153" t="s">
        <v>52</v>
      </c>
      <c r="AX300" s="153" t="s">
        <v>52</v>
      </c>
      <c r="AY300" s="153" t="s">
        <v>41</v>
      </c>
      <c r="AZ300" s="153" t="s">
        <v>98</v>
      </c>
      <c r="BA300" s="154" t="s">
        <v>98</v>
      </c>
      <c r="BB300" s="152">
        <v>588383</v>
      </c>
      <c r="BC300" s="153">
        <v>588383</v>
      </c>
      <c r="BD300" s="153">
        <v>588383</v>
      </c>
      <c r="BE300" s="157">
        <v>588383</v>
      </c>
      <c r="BF300" s="157">
        <v>392309</v>
      </c>
      <c r="BG300" s="157"/>
      <c r="BH300" s="155"/>
      <c r="BI300" s="152">
        <v>592482</v>
      </c>
      <c r="BJ300" s="153">
        <v>307156</v>
      </c>
      <c r="BK300" s="153">
        <v>201552</v>
      </c>
      <c r="BL300" s="153">
        <v>272811</v>
      </c>
      <c r="BM300" s="153">
        <v>188815</v>
      </c>
      <c r="BN300" s="154">
        <f>SUMIF(BI300:BM300,"&gt;0",BI300:BM300)</f>
        <v>1562816</v>
      </c>
      <c r="BO300" s="156"/>
      <c r="BP300" s="148"/>
      <c r="BQ300" s="153"/>
      <c r="BR300" s="153"/>
      <c r="BS300" s="152"/>
      <c r="BT300" s="148"/>
      <c r="BU300" s="148"/>
      <c r="BV300" s="148"/>
      <c r="BW300" s="148"/>
      <c r="BX300" s="154">
        <f>SUM(BS300:BW300)</f>
        <v>0</v>
      </c>
      <c r="BY300" s="143"/>
      <c r="BZ300" s="143"/>
      <c r="CA300" s="143"/>
      <c r="CB300" s="143"/>
      <c r="CC300" s="143"/>
      <c r="CD300" s="259"/>
    </row>
    <row r="301" spans="1:82" ht="14.5">
      <c r="A301" s="143" t="s">
        <v>481</v>
      </c>
      <c r="B301" s="143" t="s">
        <v>997</v>
      </c>
      <c r="C301" s="144" t="s">
        <v>768</v>
      </c>
      <c r="D301" s="144" t="s">
        <v>1658</v>
      </c>
      <c r="E301" s="145" t="s">
        <v>769</v>
      </c>
      <c r="F301" s="143" t="str">
        <f>SUBSTITUTE(E301," ","")</f>
        <v>63005482986</v>
      </c>
      <c r="G301" s="143" t="s">
        <v>1659</v>
      </c>
      <c r="H301" s="143" t="s">
        <v>81</v>
      </c>
      <c r="I301" s="143">
        <v>6713</v>
      </c>
      <c r="J301" s="143">
        <v>-21.477222000000001</v>
      </c>
      <c r="K301" s="143">
        <v>113.979167</v>
      </c>
      <c r="L301" s="143">
        <v>1984</v>
      </c>
      <c r="M301" s="143">
        <v>38</v>
      </c>
      <c r="N301" s="143">
        <v>0</v>
      </c>
      <c r="O301" s="143"/>
      <c r="P301" s="143"/>
      <c r="Q301" s="143" t="s">
        <v>121</v>
      </c>
      <c r="R301" s="143" t="s">
        <v>58</v>
      </c>
      <c r="S301" s="147"/>
      <c r="T301" s="143"/>
      <c r="U301" s="143"/>
      <c r="V301" s="143"/>
      <c r="W301" s="143"/>
      <c r="X301" s="143"/>
      <c r="Y301" s="143"/>
      <c r="Z301" s="143"/>
      <c r="AA301" s="143"/>
      <c r="AB301" s="143"/>
      <c r="AC301" s="143"/>
      <c r="AD301" s="153"/>
      <c r="AE301" s="153"/>
      <c r="AF301" s="143"/>
      <c r="AG301" s="155"/>
      <c r="AH301" s="147" t="s">
        <v>26</v>
      </c>
      <c r="AI301" s="151" t="s">
        <v>76</v>
      </c>
      <c r="AJ301" s="146"/>
      <c r="AK301" s="146" t="s">
        <v>292</v>
      </c>
      <c r="AL301" s="146" t="s">
        <v>292</v>
      </c>
      <c r="AM301" s="143"/>
      <c r="AN301" s="143"/>
      <c r="AO301" s="143"/>
      <c r="AP301" s="152" t="s">
        <v>26</v>
      </c>
      <c r="AQ301" s="153" t="s">
        <v>26</v>
      </c>
      <c r="AR301" s="160" t="str">
        <f>IF(BF301&gt;(BC301*1.1),"yes","no")</f>
        <v>no</v>
      </c>
      <c r="AS301" s="160" t="str">
        <f>IF(BM301&gt;(BJ301*1.1),"yes","no")</f>
        <v>no</v>
      </c>
      <c r="AT301" s="160" t="str">
        <f>IF(BM301&gt;(BI301*1.1),"yes","no")</f>
        <v>no</v>
      </c>
      <c r="AU301" s="154">
        <v>0</v>
      </c>
      <c r="AV301" s="153" t="s">
        <v>108</v>
      </c>
      <c r="AW301" s="153" t="s">
        <v>108</v>
      </c>
      <c r="AX301" s="153" t="s">
        <v>108</v>
      </c>
      <c r="AY301" s="153" t="s">
        <v>106</v>
      </c>
      <c r="AZ301" s="153" t="s">
        <v>80</v>
      </c>
      <c r="BA301" s="154" t="s">
        <v>80</v>
      </c>
      <c r="BB301" s="152">
        <v>7570929</v>
      </c>
      <c r="BC301" s="153">
        <v>7570929</v>
      </c>
      <c r="BD301" s="153">
        <v>7570929</v>
      </c>
      <c r="BE301" s="157">
        <v>7570929</v>
      </c>
      <c r="BF301" s="157">
        <v>6597903</v>
      </c>
      <c r="BG301" s="157"/>
      <c r="BH301" s="155" t="s">
        <v>1660</v>
      </c>
      <c r="BI301" s="152">
        <v>7657741</v>
      </c>
      <c r="BJ301" s="153">
        <v>7645451</v>
      </c>
      <c r="BK301" s="153">
        <v>7387040</v>
      </c>
      <c r="BL301" s="153">
        <v>6878006</v>
      </c>
      <c r="BM301" s="153">
        <v>6784581</v>
      </c>
      <c r="BN301" s="154">
        <f>SUMIF(BI301:BM301,"&gt;0",BI301:BM301)</f>
        <v>36352819</v>
      </c>
      <c r="BO301" s="156">
        <v>7700000</v>
      </c>
      <c r="BP301" s="148">
        <v>7700000</v>
      </c>
      <c r="BQ301" s="153">
        <v>7700000</v>
      </c>
      <c r="BR301" s="153">
        <v>7700000</v>
      </c>
      <c r="BS301" s="152"/>
      <c r="BT301" s="148"/>
      <c r="BU301" s="148"/>
      <c r="BV301" s="148"/>
      <c r="BW301" s="148"/>
      <c r="BX301" s="154">
        <f>SUM(BS301:BW301)</f>
        <v>0</v>
      </c>
      <c r="BY301" s="143"/>
      <c r="BZ301" s="143"/>
      <c r="CA301" s="143"/>
      <c r="CB301" s="143"/>
      <c r="CC301" s="143"/>
      <c r="CD301" s="259"/>
    </row>
    <row r="302" spans="1:82" ht="14.5">
      <c r="A302" s="143" t="s">
        <v>584</v>
      </c>
      <c r="B302" s="143" t="s">
        <v>2006</v>
      </c>
      <c r="C302" s="144" t="s">
        <v>839</v>
      </c>
      <c r="D302" s="144" t="s">
        <v>1013</v>
      </c>
      <c r="E302" s="145" t="s">
        <v>2007</v>
      </c>
      <c r="F302" s="143" t="str">
        <f>SUBSTITUTE(E302," ","")</f>
        <v>96004447938</v>
      </c>
      <c r="G302" s="143" t="s">
        <v>2008</v>
      </c>
      <c r="H302" s="143" t="s">
        <v>31</v>
      </c>
      <c r="I302" s="143">
        <v>2330</v>
      </c>
      <c r="J302" s="143">
        <v>-32.606431999999998</v>
      </c>
      <c r="K302" s="143">
        <v>151.07546199999999</v>
      </c>
      <c r="L302" s="143">
        <v>1981</v>
      </c>
      <c r="M302" s="143">
        <v>41</v>
      </c>
      <c r="N302" s="143">
        <v>2036</v>
      </c>
      <c r="O302" s="143"/>
      <c r="P302" s="143"/>
      <c r="Q302" s="143" t="s">
        <v>29</v>
      </c>
      <c r="R302" s="143" t="s">
        <v>29</v>
      </c>
      <c r="S302" s="147"/>
      <c r="T302" s="143"/>
      <c r="U302" s="143"/>
      <c r="V302" s="143"/>
      <c r="W302" s="143"/>
      <c r="X302" s="143"/>
      <c r="Y302" s="143"/>
      <c r="Z302" s="143"/>
      <c r="AA302" s="143"/>
      <c r="AB302" s="143"/>
      <c r="AC302" s="143"/>
      <c r="AD302" s="153"/>
      <c r="AE302" s="153"/>
      <c r="AF302" s="143"/>
      <c r="AG302" s="155"/>
      <c r="AH302" s="147" t="s">
        <v>26</v>
      </c>
      <c r="AI302" s="146" t="s">
        <v>69</v>
      </c>
      <c r="AJ302" s="146" t="s">
        <v>1630</v>
      </c>
      <c r="AK302" s="146" t="s">
        <v>21</v>
      </c>
      <c r="AL302" s="143" t="s">
        <v>134</v>
      </c>
      <c r="AM302" s="143"/>
      <c r="AN302" s="143"/>
      <c r="AO302" s="143"/>
      <c r="AP302" s="152"/>
      <c r="AQ302" s="153"/>
      <c r="AR302" s="153"/>
      <c r="AS302" s="153"/>
      <c r="AT302" s="153"/>
      <c r="AU302" s="154"/>
      <c r="AV302" s="153" t="s">
        <v>1028</v>
      </c>
      <c r="AW302" s="153" t="s">
        <v>106</v>
      </c>
      <c r="AX302" s="153" t="s">
        <v>106</v>
      </c>
      <c r="AY302" s="153" t="s">
        <v>106</v>
      </c>
      <c r="AZ302" s="153" t="s">
        <v>73</v>
      </c>
      <c r="BA302" s="154" t="s">
        <v>73</v>
      </c>
      <c r="BB302" s="152">
        <v>818881</v>
      </c>
      <c r="BC302" s="153">
        <v>818881</v>
      </c>
      <c r="BD302" s="153">
        <v>818881</v>
      </c>
      <c r="BE302" s="157">
        <v>818881</v>
      </c>
      <c r="BF302" s="157">
        <v>1018733</v>
      </c>
      <c r="BG302" s="157"/>
      <c r="BH302" s="155"/>
      <c r="BI302" s="152">
        <v>494291</v>
      </c>
      <c r="BJ302" s="153">
        <v>589687</v>
      </c>
      <c r="BK302" s="153">
        <v>730027</v>
      </c>
      <c r="BL302" s="153">
        <v>797201</v>
      </c>
      <c r="BM302" s="153">
        <v>779189</v>
      </c>
      <c r="BN302" s="154">
        <f>SUMIF(BI302:BM302,"&gt;0",BI302:BM302)</f>
        <v>3390395</v>
      </c>
      <c r="BO302" s="156">
        <v>882058</v>
      </c>
      <c r="BP302" s="148">
        <v>882058</v>
      </c>
      <c r="BQ302" s="153">
        <v>882058</v>
      </c>
      <c r="BR302" s="153">
        <v>882058</v>
      </c>
      <c r="BS302" s="152">
        <v>13590000</v>
      </c>
      <c r="BT302" s="148">
        <v>14590000</v>
      </c>
      <c r="BU302" s="148">
        <v>16900000</v>
      </c>
      <c r="BV302" s="148">
        <v>16600000</v>
      </c>
      <c r="BW302" s="148">
        <v>17800000</v>
      </c>
      <c r="BX302" s="154">
        <f>SUM(BS302:BW302)</f>
        <v>79480000</v>
      </c>
      <c r="BY302" s="143">
        <f>BI302/BS302</f>
        <v>3.637167034584253E-2</v>
      </c>
      <c r="BZ302" s="143">
        <f>BJ302/BT302</f>
        <v>4.0417203564084993E-2</v>
      </c>
      <c r="CA302" s="143">
        <f>BK302/BU302</f>
        <v>4.3196863905325442E-2</v>
      </c>
      <c r="CB302" s="143">
        <f>BL302/BV302</f>
        <v>4.8024156626506026E-2</v>
      </c>
      <c r="CC302" s="143">
        <f>BM302/BW302</f>
        <v>4.3774662921348316E-2</v>
      </c>
      <c r="CD302" s="259">
        <f>AVERAGE(BY302:CC302)</f>
        <v>4.2356911472621467E-2</v>
      </c>
    </row>
    <row r="303" spans="1:82" ht="14.5">
      <c r="A303" s="143" t="s">
        <v>302</v>
      </c>
      <c r="B303" s="143" t="s">
        <v>1058</v>
      </c>
      <c r="C303" s="144" t="s">
        <v>616</v>
      </c>
      <c r="D303" s="144" t="s">
        <v>1013</v>
      </c>
      <c r="E303" s="145" t="s">
        <v>617</v>
      </c>
      <c r="F303" s="143" t="str">
        <f>SUBSTITUTE(E303," ","")</f>
        <v>22078556500</v>
      </c>
      <c r="G303" s="143" t="s">
        <v>1059</v>
      </c>
      <c r="H303" s="143" t="s">
        <v>31</v>
      </c>
      <c r="I303" s="143">
        <v>2330</v>
      </c>
      <c r="J303" s="143">
        <v>-32.481769</v>
      </c>
      <c r="K303" s="143">
        <v>151.14282399999999</v>
      </c>
      <c r="L303" s="143" t="s">
        <v>292</v>
      </c>
      <c r="M303" s="143" t="s">
        <v>292</v>
      </c>
      <c r="N303" s="143" t="s">
        <v>292</v>
      </c>
      <c r="O303" s="143"/>
      <c r="P303" s="143"/>
      <c r="Q303" s="143" t="s">
        <v>29</v>
      </c>
      <c r="R303" s="143" t="s">
        <v>29</v>
      </c>
      <c r="S303" s="147"/>
      <c r="T303" s="143"/>
      <c r="U303" s="143"/>
      <c r="V303" s="143"/>
      <c r="W303" s="143"/>
      <c r="X303" s="143"/>
      <c r="Y303" s="143"/>
      <c r="Z303" s="143"/>
      <c r="AA303" s="143"/>
      <c r="AB303" s="143"/>
      <c r="AC303" s="143"/>
      <c r="AD303" s="153"/>
      <c r="AE303" s="153"/>
      <c r="AF303" s="143"/>
      <c r="AG303" s="155"/>
      <c r="AH303" s="147" t="s">
        <v>26</v>
      </c>
      <c r="AI303" s="146" t="s">
        <v>69</v>
      </c>
      <c r="AJ303" s="146" t="s">
        <v>1060</v>
      </c>
      <c r="AK303" s="146" t="s">
        <v>33</v>
      </c>
      <c r="AL303" s="143" t="s">
        <v>134</v>
      </c>
      <c r="AM303" s="143" t="s">
        <v>63</v>
      </c>
      <c r="AN303" s="143">
        <v>1.3</v>
      </c>
      <c r="AO303" s="143" t="s">
        <v>905</v>
      </c>
      <c r="AP303" s="152"/>
      <c r="AQ303" s="153"/>
      <c r="AR303" s="153"/>
      <c r="AS303" s="153"/>
      <c r="AT303" s="153"/>
      <c r="AU303" s="154"/>
      <c r="AV303" s="153" t="s">
        <v>1028</v>
      </c>
      <c r="AW303" s="153" t="s">
        <v>106</v>
      </c>
      <c r="AX303" s="153" t="s">
        <v>106</v>
      </c>
      <c r="AY303" s="153" t="s">
        <v>106</v>
      </c>
      <c r="AZ303" s="153" t="s">
        <v>73</v>
      </c>
      <c r="BA303" s="154" t="s">
        <v>73</v>
      </c>
      <c r="BB303" s="152">
        <v>501235</v>
      </c>
      <c r="BC303" s="153">
        <v>501235</v>
      </c>
      <c r="BD303" s="153">
        <v>501235</v>
      </c>
      <c r="BE303" s="157">
        <v>501235</v>
      </c>
      <c r="BF303" s="157">
        <v>489864</v>
      </c>
      <c r="BG303" s="157"/>
      <c r="BH303" s="155"/>
      <c r="BI303" s="152">
        <v>339443</v>
      </c>
      <c r="BJ303" s="153">
        <v>259148</v>
      </c>
      <c r="BK303" s="153">
        <v>216181</v>
      </c>
      <c r="BL303" s="153">
        <v>196641</v>
      </c>
      <c r="BM303" s="153">
        <v>411570</v>
      </c>
      <c r="BN303" s="154">
        <f>SUMIF(BI303:BM303,"&gt;0",BI303:BM303)</f>
        <v>1422983</v>
      </c>
      <c r="BO303" s="156">
        <v>270480</v>
      </c>
      <c r="BP303" s="148">
        <v>270480</v>
      </c>
      <c r="BQ303" s="153">
        <v>270480</v>
      </c>
      <c r="BR303" s="153">
        <v>270480</v>
      </c>
      <c r="BS303" s="152">
        <v>2790532</v>
      </c>
      <c r="BT303" s="148">
        <v>1900000</v>
      </c>
      <c r="BU303" s="148">
        <v>2035229</v>
      </c>
      <c r="BV303" s="148">
        <v>3383255</v>
      </c>
      <c r="BW303" s="148">
        <v>2600000</v>
      </c>
      <c r="BX303" s="154">
        <f>SUM(BS303:BW303)</f>
        <v>12709016</v>
      </c>
      <c r="BY303" s="143">
        <f>BI303/BS303</f>
        <v>0.12164096308517516</v>
      </c>
      <c r="BZ303" s="143">
        <f>BJ303/BT303</f>
        <v>0.13639368421052631</v>
      </c>
      <c r="CA303" s="143">
        <f>BK303/BU303</f>
        <v>0.10621949667580405</v>
      </c>
      <c r="CB303" s="143">
        <f>BL303/BV303</f>
        <v>5.8121838288866787E-2</v>
      </c>
      <c r="CC303" s="143">
        <f>BM303/BW303</f>
        <v>0.15829615384615384</v>
      </c>
      <c r="CD303" s="259">
        <f>AVERAGE(BY303:CC303)</f>
        <v>0.11613442722130522</v>
      </c>
    </row>
    <row r="304" spans="1:82" ht="14.5">
      <c r="A304" s="143" t="s">
        <v>599</v>
      </c>
      <c r="B304" s="143" t="s">
        <v>2045</v>
      </c>
      <c r="C304" s="144" t="s">
        <v>848</v>
      </c>
      <c r="D304" s="144" t="s">
        <v>1013</v>
      </c>
      <c r="E304" s="145" t="s">
        <v>849</v>
      </c>
      <c r="F304" s="143" t="str">
        <f>SUBSTITUTE(E304," ","")</f>
        <v>30010849402</v>
      </c>
      <c r="G304" s="143" t="s">
        <v>1132</v>
      </c>
      <c r="H304" s="143" t="s">
        <v>53</v>
      </c>
      <c r="I304" s="143">
        <v>4717</v>
      </c>
      <c r="J304" s="143">
        <v>-23.273337999999999</v>
      </c>
      <c r="K304" s="143">
        <v>149.02296999999999</v>
      </c>
      <c r="L304" s="143">
        <v>1982</v>
      </c>
      <c r="M304" s="143">
        <v>40</v>
      </c>
      <c r="N304" s="143">
        <v>2032</v>
      </c>
      <c r="O304" s="143"/>
      <c r="P304" s="143"/>
      <c r="Q304" s="143" t="s">
        <v>29</v>
      </c>
      <c r="R304" s="143" t="s">
        <v>29</v>
      </c>
      <c r="S304" s="147"/>
      <c r="T304" s="143"/>
      <c r="U304" s="143"/>
      <c r="V304" s="143"/>
      <c r="W304" s="143"/>
      <c r="X304" s="143"/>
      <c r="Y304" s="143"/>
      <c r="Z304" s="143"/>
      <c r="AA304" s="143"/>
      <c r="AB304" s="143"/>
      <c r="AC304" s="143"/>
      <c r="AD304" s="153"/>
      <c r="AE304" s="153"/>
      <c r="AF304" s="143"/>
      <c r="AG304" s="155"/>
      <c r="AH304" s="147" t="s">
        <v>26</v>
      </c>
      <c r="AI304" s="146" t="s">
        <v>69</v>
      </c>
      <c r="AJ304" s="146" t="s">
        <v>2046</v>
      </c>
      <c r="AK304" s="146" t="s">
        <v>21</v>
      </c>
      <c r="AL304" s="143" t="s">
        <v>43</v>
      </c>
      <c r="AM304" s="143"/>
      <c r="AN304" s="143"/>
      <c r="AO304" s="143"/>
      <c r="AP304" s="152"/>
      <c r="AQ304" s="153"/>
      <c r="AR304" s="153"/>
      <c r="AS304" s="153"/>
      <c r="AT304" s="153"/>
      <c r="AU304" s="154"/>
      <c r="AV304" s="153" t="s">
        <v>1028</v>
      </c>
      <c r="AW304" s="153" t="s">
        <v>106</v>
      </c>
      <c r="AX304" s="153" t="s">
        <v>106</v>
      </c>
      <c r="AY304" s="153" t="s">
        <v>106</v>
      </c>
      <c r="AZ304" s="153" t="s">
        <v>73</v>
      </c>
      <c r="BA304" s="154" t="s">
        <v>73</v>
      </c>
      <c r="BB304" s="152">
        <v>191667</v>
      </c>
      <c r="BC304" s="153">
        <v>191667</v>
      </c>
      <c r="BD304" s="153">
        <v>191667</v>
      </c>
      <c r="BE304" s="157">
        <v>191667</v>
      </c>
      <c r="BF304" s="157">
        <v>190339</v>
      </c>
      <c r="BG304" s="157"/>
      <c r="BH304" s="155"/>
      <c r="BI304" s="152">
        <v>171861</v>
      </c>
      <c r="BJ304" s="153">
        <v>168561</v>
      </c>
      <c r="BK304" s="153">
        <v>170821</v>
      </c>
      <c r="BL304" s="153">
        <v>184282</v>
      </c>
      <c r="BM304" s="153">
        <v>171635</v>
      </c>
      <c r="BN304" s="154">
        <f>SUMIF(BI304:BM304,"&gt;0",BI304:BM304)</f>
        <v>867160</v>
      </c>
      <c r="BO304" s="156"/>
      <c r="BP304" s="148"/>
      <c r="BQ304" s="153"/>
      <c r="BR304" s="153"/>
      <c r="BS304" s="152">
        <v>3400000</v>
      </c>
      <c r="BT304" s="148">
        <v>3500000</v>
      </c>
      <c r="BU304" s="148">
        <v>3400000</v>
      </c>
      <c r="BV304" s="148">
        <v>3300000</v>
      </c>
      <c r="BW304" s="148">
        <v>2600000</v>
      </c>
      <c r="BX304" s="154">
        <f>SUM(BS304:BW304)</f>
        <v>16200000</v>
      </c>
      <c r="BY304" s="143">
        <f>BI304/BS304</f>
        <v>5.0547352941176474E-2</v>
      </c>
      <c r="BZ304" s="143">
        <f>BJ304/BT304</f>
        <v>4.8160285714285711E-2</v>
      </c>
      <c r="CA304" s="143">
        <f>BK304/BU304</f>
        <v>5.0241470588235297E-2</v>
      </c>
      <c r="CB304" s="143">
        <f>BL304/BV304</f>
        <v>5.5843030303030304E-2</v>
      </c>
      <c r="CC304" s="143">
        <f>BM304/BW304</f>
        <v>6.6013461538461535E-2</v>
      </c>
      <c r="CD304" s="143">
        <f>AVERAGE(BY304:CC304)</f>
        <v>5.416112021703786E-2</v>
      </c>
    </row>
    <row r="305" spans="1:82" ht="14.5">
      <c r="A305" s="143" t="s">
        <v>450</v>
      </c>
      <c r="B305" s="143" t="s">
        <v>1553</v>
      </c>
      <c r="C305" s="144" t="s">
        <v>742</v>
      </c>
      <c r="D305" s="144" t="s">
        <v>1013</v>
      </c>
      <c r="E305" s="145" t="s">
        <v>743</v>
      </c>
      <c r="F305" s="143" t="str">
        <f>SUBSTITUTE(E305," ","")</f>
        <v>59077939569</v>
      </c>
      <c r="G305" s="143" t="s">
        <v>1554</v>
      </c>
      <c r="H305" s="143" t="s">
        <v>31</v>
      </c>
      <c r="I305" s="143">
        <v>2850</v>
      </c>
      <c r="J305" s="143">
        <v>-32.281573999999999</v>
      </c>
      <c r="K305" s="143">
        <v>149.76473100000001</v>
      </c>
      <c r="L305" s="143" t="s">
        <v>292</v>
      </c>
      <c r="M305" s="143" t="s">
        <v>292</v>
      </c>
      <c r="N305" s="143" t="s">
        <v>292</v>
      </c>
      <c r="O305" s="143"/>
      <c r="P305" s="143"/>
      <c r="Q305" s="143" t="s">
        <v>29</v>
      </c>
      <c r="R305" s="143" t="s">
        <v>29</v>
      </c>
      <c r="S305" s="147"/>
      <c r="T305" s="143"/>
      <c r="U305" s="143"/>
      <c r="V305" s="143"/>
      <c r="W305" s="143"/>
      <c r="X305" s="143"/>
      <c r="Y305" s="143"/>
      <c r="Z305" s="143"/>
      <c r="AA305" s="143"/>
      <c r="AB305" s="143"/>
      <c r="AC305" s="143"/>
      <c r="AD305" s="153"/>
      <c r="AE305" s="153"/>
      <c r="AF305" s="143"/>
      <c r="AG305" s="155"/>
      <c r="AH305" s="147" t="s">
        <v>26</v>
      </c>
      <c r="AI305" s="146" t="s">
        <v>36</v>
      </c>
      <c r="AJ305" s="146" t="s">
        <v>1555</v>
      </c>
      <c r="AK305" s="146" t="s">
        <v>608</v>
      </c>
      <c r="AL305" s="143" t="s">
        <v>134</v>
      </c>
      <c r="AM305" s="143"/>
      <c r="AN305" s="143"/>
      <c r="AO305" s="143"/>
      <c r="AP305" s="152"/>
      <c r="AQ305" s="153"/>
      <c r="AR305" s="153"/>
      <c r="AS305" s="153"/>
      <c r="AT305" s="153"/>
      <c r="AU305" s="154"/>
      <c r="AV305" s="153" t="s">
        <v>1028</v>
      </c>
      <c r="AW305" s="153" t="s">
        <v>106</v>
      </c>
      <c r="AX305" s="153" t="s">
        <v>106</v>
      </c>
      <c r="AY305" s="153" t="s">
        <v>106</v>
      </c>
      <c r="AZ305" s="153" t="s">
        <v>73</v>
      </c>
      <c r="BA305" s="154" t="s">
        <v>73</v>
      </c>
      <c r="BB305" s="152">
        <v>473395</v>
      </c>
      <c r="BC305" s="153">
        <v>473395</v>
      </c>
      <c r="BD305" s="153">
        <v>473395</v>
      </c>
      <c r="BE305" s="157">
        <v>473395</v>
      </c>
      <c r="BF305" s="157">
        <v>361814</v>
      </c>
      <c r="BG305" s="157"/>
      <c r="BH305" s="155"/>
      <c r="BI305" s="152">
        <v>175269</v>
      </c>
      <c r="BJ305" s="153">
        <v>156443</v>
      </c>
      <c r="BK305" s="153">
        <v>154175</v>
      </c>
      <c r="BL305" s="153">
        <v>166280</v>
      </c>
      <c r="BM305" s="153">
        <v>164989</v>
      </c>
      <c r="BN305" s="154">
        <f>SUMIF(BI305:BM305,"&gt;0",BI305:BM305)</f>
        <v>817156</v>
      </c>
      <c r="BO305" s="156">
        <v>185000</v>
      </c>
      <c r="BP305" s="148">
        <v>185000</v>
      </c>
      <c r="BQ305" s="153">
        <v>185000</v>
      </c>
      <c r="BR305" s="153">
        <v>185000</v>
      </c>
      <c r="BS305" s="152">
        <v>14715193</v>
      </c>
      <c r="BT305" s="148">
        <v>18587871</v>
      </c>
      <c r="BU305" s="148">
        <v>20514055</v>
      </c>
      <c r="BV305" s="148">
        <v>21656483</v>
      </c>
      <c r="BW305" s="148">
        <v>22440304</v>
      </c>
      <c r="BX305" s="154">
        <f>SUM(BS305:BW305)</f>
        <v>97913906</v>
      </c>
      <c r="BY305" s="143">
        <f>BI305/BS305</f>
        <v>1.1910751017672687E-2</v>
      </c>
      <c r="BZ305" s="143">
        <f>BJ305/BT305</f>
        <v>8.4164022872764716E-3</v>
      </c>
      <c r="CA305" s="143">
        <f>BK305/BU305</f>
        <v>7.5155789530641313E-3</v>
      </c>
      <c r="CB305" s="143">
        <f>BL305/BV305</f>
        <v>7.6780703496500333E-3</v>
      </c>
      <c r="CC305" s="143">
        <f>BM305/BW305</f>
        <v>7.3523513763449908E-3</v>
      </c>
      <c r="CD305" s="143">
        <f>AVERAGE(BY305:CC305)</f>
        <v>8.5746307968016626E-3</v>
      </c>
    </row>
    <row r="306" spans="1:82" ht="14.5">
      <c r="A306" s="143" t="s">
        <v>458</v>
      </c>
      <c r="B306" s="143" t="s">
        <v>1586</v>
      </c>
      <c r="C306" s="144" t="s">
        <v>1587</v>
      </c>
      <c r="D306" s="144" t="s">
        <v>1013</v>
      </c>
      <c r="E306" s="145" t="s">
        <v>1588</v>
      </c>
      <c r="F306" s="143" t="str">
        <f>SUBSTITUTE(E306," ","")</f>
        <v>47000013249</v>
      </c>
      <c r="G306" s="143" t="s">
        <v>1589</v>
      </c>
      <c r="H306" s="143" t="s">
        <v>31</v>
      </c>
      <c r="I306" s="143">
        <v>2330</v>
      </c>
      <c r="J306" s="143">
        <v>-32.643189999999997</v>
      </c>
      <c r="K306" s="143">
        <v>151.085868</v>
      </c>
      <c r="L306" s="143" t="s">
        <v>292</v>
      </c>
      <c r="M306" s="143" t="s">
        <v>292</v>
      </c>
      <c r="N306" s="143" t="s">
        <v>292</v>
      </c>
      <c r="O306" s="143"/>
      <c r="P306" s="143"/>
      <c r="Q306" s="143" t="s">
        <v>29</v>
      </c>
      <c r="R306" s="143" t="s">
        <v>29</v>
      </c>
      <c r="S306" s="147"/>
      <c r="T306" s="143"/>
      <c r="U306" s="143"/>
      <c r="V306" s="143"/>
      <c r="W306" s="143"/>
      <c r="X306" s="143"/>
      <c r="Y306" s="143"/>
      <c r="Z306" s="143"/>
      <c r="AA306" s="143"/>
      <c r="AB306" s="143"/>
      <c r="AC306" s="143"/>
      <c r="AD306" s="153"/>
      <c r="AE306" s="153"/>
      <c r="AF306" s="143"/>
      <c r="AG306" s="155"/>
      <c r="AH306" s="147" t="s">
        <v>26</v>
      </c>
      <c r="AI306" s="146" t="s">
        <v>69</v>
      </c>
      <c r="AJ306" s="146" t="s">
        <v>1133</v>
      </c>
      <c r="AK306" s="146" t="s">
        <v>21</v>
      </c>
      <c r="AL306" s="146" t="s">
        <v>134</v>
      </c>
      <c r="AM306" s="143" t="s">
        <v>63</v>
      </c>
      <c r="AN306" s="143">
        <v>2</v>
      </c>
      <c r="AO306" s="143"/>
      <c r="AP306" s="152"/>
      <c r="AQ306" s="153"/>
      <c r="AR306" s="153"/>
      <c r="AS306" s="153"/>
      <c r="AT306" s="153"/>
      <c r="AU306" s="154"/>
      <c r="AV306" s="153" t="s">
        <v>1028</v>
      </c>
      <c r="AW306" s="153" t="s">
        <v>1028</v>
      </c>
      <c r="AX306" s="153" t="s">
        <v>1028</v>
      </c>
      <c r="AY306" s="153" t="s">
        <v>1028</v>
      </c>
      <c r="AZ306" s="153" t="s">
        <v>1028</v>
      </c>
      <c r="BA306" s="154" t="s">
        <v>114</v>
      </c>
      <c r="BB306" s="152">
        <v>333244</v>
      </c>
      <c r="BC306" s="153">
        <v>333244</v>
      </c>
      <c r="BD306" s="153">
        <v>333244</v>
      </c>
      <c r="BE306" s="157">
        <v>333244</v>
      </c>
      <c r="BF306" s="157">
        <v>363977</v>
      </c>
      <c r="BG306" s="157"/>
      <c r="BH306" s="155"/>
      <c r="BI306" s="152">
        <v>191969</v>
      </c>
      <c r="BJ306" s="153">
        <v>205295</v>
      </c>
      <c r="BK306" s="153" t="s">
        <v>920</v>
      </c>
      <c r="BL306" s="153" t="s">
        <v>920</v>
      </c>
      <c r="BM306" s="153" t="s">
        <v>920</v>
      </c>
      <c r="BN306" s="154">
        <f>SUMIF(BI306:BM306,"&gt;0",BI306:BM306)</f>
        <v>397264</v>
      </c>
      <c r="BO306" s="156"/>
      <c r="BP306" s="148"/>
      <c r="BQ306" s="153"/>
      <c r="BR306" s="153"/>
      <c r="BS306" s="156" t="s">
        <v>1096</v>
      </c>
      <c r="BT306" s="148" t="s">
        <v>1096</v>
      </c>
      <c r="BU306" s="148" t="s">
        <v>1096</v>
      </c>
      <c r="BV306" s="148" t="s">
        <v>1096</v>
      </c>
      <c r="BW306" s="148" t="s">
        <v>1096</v>
      </c>
      <c r="BX306" s="154">
        <f>SUM(BS306:BW306)</f>
        <v>0</v>
      </c>
      <c r="BY306" s="143" t="e">
        <f>BI306/BS306</f>
        <v>#VALUE!</v>
      </c>
      <c r="BZ306" s="143" t="e">
        <f>BJ306/BT306</f>
        <v>#VALUE!</v>
      </c>
      <c r="CA306" s="143" t="e">
        <f>BK306/BU306</f>
        <v>#VALUE!</v>
      </c>
      <c r="CB306" s="143" t="e">
        <f>BL306/BV306</f>
        <v>#VALUE!</v>
      </c>
      <c r="CC306" s="143" t="e">
        <f>BM306/BW306</f>
        <v>#VALUE!</v>
      </c>
      <c r="CD306" s="143" t="e">
        <f>AVERAGE(BY306:CC306)</f>
        <v>#VALUE!</v>
      </c>
    </row>
    <row r="307" spans="1:82" ht="14.5">
      <c r="A307" s="143" t="s">
        <v>308</v>
      </c>
      <c r="B307" s="143" t="s">
        <v>1077</v>
      </c>
      <c r="C307" s="144" t="s">
        <v>1078</v>
      </c>
      <c r="D307" s="144" t="s">
        <v>1013</v>
      </c>
      <c r="E307" s="145" t="s">
        <v>1079</v>
      </c>
      <c r="F307" s="143" t="str">
        <f>SUBSTITUTE(E307," ","")</f>
        <v>67111910822</v>
      </c>
      <c r="G307" s="143" t="s">
        <v>1080</v>
      </c>
      <c r="H307" s="143" t="s">
        <v>31</v>
      </c>
      <c r="I307" s="143">
        <v>2325</v>
      </c>
      <c r="J307" s="143">
        <v>-32.875970000000002</v>
      </c>
      <c r="K307" s="143">
        <v>151.300387</v>
      </c>
      <c r="L307" s="143" t="s">
        <v>292</v>
      </c>
      <c r="M307" s="143" t="s">
        <v>292</v>
      </c>
      <c r="N307" s="143" t="s">
        <v>292</v>
      </c>
      <c r="O307" s="143" t="s">
        <v>55</v>
      </c>
      <c r="P307" s="143" t="s">
        <v>1081</v>
      </c>
      <c r="Q307" s="143" t="s">
        <v>29</v>
      </c>
      <c r="R307" s="143" t="s">
        <v>29</v>
      </c>
      <c r="S307" s="147"/>
      <c r="T307" s="143"/>
      <c r="U307" s="143"/>
      <c r="V307" s="143"/>
      <c r="W307" s="143"/>
      <c r="X307" s="143"/>
      <c r="Y307" s="143"/>
      <c r="Z307" s="143"/>
      <c r="AA307" s="143"/>
      <c r="AB307" s="143"/>
      <c r="AC307" s="143"/>
      <c r="AD307" s="153"/>
      <c r="AE307" s="153"/>
      <c r="AF307" s="143"/>
      <c r="AG307" s="155"/>
      <c r="AH307" s="147" t="s">
        <v>26</v>
      </c>
      <c r="AI307" s="146" t="s">
        <v>25</v>
      </c>
      <c r="AJ307" s="146" t="s">
        <v>1082</v>
      </c>
      <c r="AK307" s="146" t="s">
        <v>33</v>
      </c>
      <c r="AL307" s="143" t="s">
        <v>134</v>
      </c>
      <c r="AM307" s="143"/>
      <c r="AN307" s="143"/>
      <c r="AO307" s="143"/>
      <c r="AP307" s="152"/>
      <c r="AQ307" s="153"/>
      <c r="AR307" s="153"/>
      <c r="AS307" s="153"/>
      <c r="AT307" s="153"/>
      <c r="AU307" s="154"/>
      <c r="AV307" s="153" t="s">
        <v>1028</v>
      </c>
      <c r="AW307" s="153" t="s">
        <v>106</v>
      </c>
      <c r="AX307" s="153" t="s">
        <v>106</v>
      </c>
      <c r="AY307" s="153" t="s">
        <v>106</v>
      </c>
      <c r="AZ307" s="153" t="s">
        <v>106</v>
      </c>
      <c r="BA307" s="154" t="s">
        <v>114</v>
      </c>
      <c r="BB307" s="152">
        <v>211460</v>
      </c>
      <c r="BC307" s="153">
        <v>211460</v>
      </c>
      <c r="BD307" s="153">
        <v>211460</v>
      </c>
      <c r="BE307" s="153">
        <v>211460</v>
      </c>
      <c r="BF307" s="153">
        <v>211460</v>
      </c>
      <c r="BG307" s="157"/>
      <c r="BH307" s="155" t="s">
        <v>55</v>
      </c>
      <c r="BI307" s="152">
        <v>113723</v>
      </c>
      <c r="BJ307" s="153">
        <v>146671</v>
      </c>
      <c r="BK307" s="153" t="s">
        <v>920</v>
      </c>
      <c r="BL307" s="153" t="s">
        <v>920</v>
      </c>
      <c r="BM307" s="153" t="s">
        <v>920</v>
      </c>
      <c r="BN307" s="154">
        <f>SUMIF(BI307:BM307,"&gt;0",BI307:BM307)</f>
        <v>260394</v>
      </c>
      <c r="BO307" s="156">
        <v>315000</v>
      </c>
      <c r="BP307" s="148">
        <v>315000</v>
      </c>
      <c r="BQ307" s="153"/>
      <c r="BR307" s="153"/>
      <c r="BS307" s="152">
        <v>2015187</v>
      </c>
      <c r="BT307" s="148">
        <v>1413065</v>
      </c>
      <c r="BU307" s="148">
        <v>705352</v>
      </c>
      <c r="BV307" s="148">
        <v>1034297</v>
      </c>
      <c r="BW307" s="148">
        <v>0</v>
      </c>
      <c r="BX307" s="154">
        <f>SUM(BS307:BW307)</f>
        <v>5167901</v>
      </c>
      <c r="BY307" s="143">
        <f>BI307/BS307</f>
        <v>5.6432976195261282E-2</v>
      </c>
      <c r="BZ307" s="143">
        <f>BJ307/BT307</f>
        <v>0.10379635756316942</v>
      </c>
      <c r="CA307" s="143" t="e">
        <f>BK307/BU307</f>
        <v>#VALUE!</v>
      </c>
      <c r="CB307" s="143" t="e">
        <f>BL307/BV307</f>
        <v>#VALUE!</v>
      </c>
      <c r="CC307" s="143" t="e">
        <f>BM307/BW307</f>
        <v>#VALUE!</v>
      </c>
      <c r="CD307" s="259" t="e">
        <f>AVERAGE(BY307:CC307)</f>
        <v>#VALUE!</v>
      </c>
    </row>
    <row r="308" spans="1:82" ht="14.5">
      <c r="A308" s="143" t="s">
        <v>293</v>
      </c>
      <c r="B308" s="143" t="s">
        <v>1011</v>
      </c>
      <c r="C308" s="144" t="s">
        <v>1012</v>
      </c>
      <c r="D308" s="144" t="s">
        <v>1013</v>
      </c>
      <c r="E308" s="145">
        <v>87073088945</v>
      </c>
      <c r="F308" s="143" t="str">
        <f>SUBSTITUTE(E308," ","")</f>
        <v>87073088945</v>
      </c>
      <c r="G308" s="143" t="s">
        <v>1014</v>
      </c>
      <c r="H308" s="143" t="s">
        <v>31</v>
      </c>
      <c r="I308" s="143">
        <v>2322</v>
      </c>
      <c r="J308" s="143">
        <v>-32.820580999999997</v>
      </c>
      <c r="K308" s="143">
        <v>151.60731899999999</v>
      </c>
      <c r="L308" s="143" t="s">
        <v>292</v>
      </c>
      <c r="M308" s="143" t="s">
        <v>292</v>
      </c>
      <c r="N308" s="143" t="s">
        <v>292</v>
      </c>
      <c r="O308" s="143" t="s">
        <v>55</v>
      </c>
      <c r="P308" s="143" t="s">
        <v>1015</v>
      </c>
      <c r="Q308" s="143" t="s">
        <v>29</v>
      </c>
      <c r="R308" s="143" t="s">
        <v>29</v>
      </c>
      <c r="S308" s="147"/>
      <c r="T308" s="143"/>
      <c r="U308" s="143"/>
      <c r="V308" s="143"/>
      <c r="W308" s="143"/>
      <c r="X308" s="143"/>
      <c r="Y308" s="143"/>
      <c r="Z308" s="143"/>
      <c r="AA308" s="143"/>
      <c r="AB308" s="143"/>
      <c r="AC308" s="143"/>
      <c r="AD308" s="153"/>
      <c r="AE308" s="153"/>
      <c r="AF308" s="143"/>
      <c r="AG308" s="155"/>
      <c r="AH308" s="147" t="s">
        <v>26</v>
      </c>
      <c r="AI308" s="146" t="s">
        <v>69</v>
      </c>
      <c r="AJ308" s="146" t="s">
        <v>1016</v>
      </c>
      <c r="AK308" s="146" t="s">
        <v>33</v>
      </c>
      <c r="AL308" s="146" t="s">
        <v>134</v>
      </c>
      <c r="AM308" s="143"/>
      <c r="AN308" s="143"/>
      <c r="AO308" s="143"/>
      <c r="AP308" s="152"/>
      <c r="AQ308" s="153"/>
      <c r="AR308" s="153"/>
      <c r="AS308" s="153"/>
      <c r="AT308" s="153"/>
      <c r="AU308" s="154"/>
      <c r="AV308" s="153" t="s">
        <v>106</v>
      </c>
      <c r="AW308" s="153" t="s">
        <v>106</v>
      </c>
      <c r="AX308" s="153" t="s">
        <v>106</v>
      </c>
      <c r="AY308" s="153" t="s">
        <v>106</v>
      </c>
      <c r="AZ308" s="153" t="s">
        <v>106</v>
      </c>
      <c r="BA308" s="154" t="s">
        <v>114</v>
      </c>
      <c r="BB308" s="152">
        <v>148286</v>
      </c>
      <c r="BC308" s="153">
        <v>148286</v>
      </c>
      <c r="BD308" s="153">
        <v>148286</v>
      </c>
      <c r="BE308" s="153">
        <v>148286</v>
      </c>
      <c r="BF308" s="153">
        <v>148286</v>
      </c>
      <c r="BG308" s="157"/>
      <c r="BH308" s="155"/>
      <c r="BI308" s="152" t="s">
        <v>920</v>
      </c>
      <c r="BJ308" s="153" t="s">
        <v>920</v>
      </c>
      <c r="BK308" s="153" t="s">
        <v>920</v>
      </c>
      <c r="BL308" s="153" t="s">
        <v>920</v>
      </c>
      <c r="BM308" s="153" t="s">
        <v>920</v>
      </c>
      <c r="BN308" s="154">
        <f>SUMIF(BI308:BM308,"&gt;0",BI308:BM308)</f>
        <v>0</v>
      </c>
      <c r="BO308" s="156"/>
      <c r="BP308" s="148"/>
      <c r="BQ308" s="153"/>
      <c r="BR308" s="153"/>
      <c r="BS308" s="158">
        <v>265425</v>
      </c>
      <c r="BT308" s="148">
        <v>0</v>
      </c>
      <c r="BU308" s="148">
        <v>0</v>
      </c>
      <c r="BV308" s="148">
        <v>0</v>
      </c>
      <c r="BW308" s="148">
        <v>0</v>
      </c>
      <c r="BX308" s="154">
        <f>SUM(BS308:BW308)</f>
        <v>265425</v>
      </c>
      <c r="BY308" s="143" t="e">
        <f>BI308/BS308</f>
        <v>#VALUE!</v>
      </c>
      <c r="BZ308" s="143" t="e">
        <f>BJ308/BT308</f>
        <v>#VALUE!</v>
      </c>
      <c r="CA308" s="143" t="e">
        <f>BK308/BU308</f>
        <v>#VALUE!</v>
      </c>
      <c r="CB308" s="143" t="e">
        <f>BL308/BV308</f>
        <v>#VALUE!</v>
      </c>
      <c r="CC308" s="143" t="e">
        <f>BM308/BW308</f>
        <v>#VALUE!</v>
      </c>
      <c r="CD308" s="259" t="e">
        <f>AVERAGE(BY308:CC308)</f>
        <v>#VALUE!</v>
      </c>
    </row>
    <row r="309" spans="1:82" ht="14.5">
      <c r="A309" s="143" t="s">
        <v>371</v>
      </c>
      <c r="B309" s="143" t="s">
        <v>1271</v>
      </c>
      <c r="C309" s="144" t="s">
        <v>1272</v>
      </c>
      <c r="D309" s="144" t="s">
        <v>1013</v>
      </c>
      <c r="E309" s="145" t="s">
        <v>1273</v>
      </c>
      <c r="F309" s="143" t="str">
        <f>SUBSTITUTE(E309," ","")</f>
        <v>81070318259</v>
      </c>
      <c r="G309" s="143" t="s">
        <v>1274</v>
      </c>
      <c r="H309" s="143" t="s">
        <v>31</v>
      </c>
      <c r="I309" s="143">
        <v>2415</v>
      </c>
      <c r="J309" s="143">
        <v>-32.296976000000001</v>
      </c>
      <c r="K309" s="143">
        <v>151.94418300000001</v>
      </c>
      <c r="L309" s="143" t="s">
        <v>292</v>
      </c>
      <c r="M309" s="143" t="s">
        <v>292</v>
      </c>
      <c r="N309" s="143" t="s">
        <v>292</v>
      </c>
      <c r="O309" s="143" t="s">
        <v>1275</v>
      </c>
      <c r="P309" s="173" t="s">
        <v>2078</v>
      </c>
      <c r="Q309" s="143" t="s">
        <v>29</v>
      </c>
      <c r="R309" s="143" t="s">
        <v>29</v>
      </c>
      <c r="S309" s="147"/>
      <c r="T309" s="143"/>
      <c r="U309" s="143"/>
      <c r="V309" s="143"/>
      <c r="W309" s="143"/>
      <c r="X309" s="143"/>
      <c r="Y309" s="143"/>
      <c r="Z309" s="143"/>
      <c r="AA309" s="143"/>
      <c r="AB309" s="143"/>
      <c r="AC309" s="143"/>
      <c r="AD309" s="153"/>
      <c r="AE309" s="153"/>
      <c r="AF309" s="143"/>
      <c r="AG309" s="155"/>
      <c r="AH309" s="147" t="s">
        <v>26</v>
      </c>
      <c r="AI309" s="146" t="s">
        <v>25</v>
      </c>
      <c r="AJ309" s="146" t="s">
        <v>1276</v>
      </c>
      <c r="AK309" s="146" t="s">
        <v>21</v>
      </c>
      <c r="AL309" s="146" t="s">
        <v>96</v>
      </c>
      <c r="AM309" s="143" t="s">
        <v>49</v>
      </c>
      <c r="AN309" s="143">
        <v>1.2</v>
      </c>
      <c r="AO309" s="143" t="s">
        <v>901</v>
      </c>
      <c r="AP309" s="152"/>
      <c r="AQ309" s="153"/>
      <c r="AR309" s="153"/>
      <c r="AS309" s="153"/>
      <c r="AT309" s="153"/>
      <c r="AU309" s="154"/>
      <c r="AV309" s="153" t="s">
        <v>106</v>
      </c>
      <c r="AW309" s="153" t="s">
        <v>106</v>
      </c>
      <c r="AX309" s="153" t="s">
        <v>106</v>
      </c>
      <c r="AY309" s="153" t="s">
        <v>106</v>
      </c>
      <c r="AZ309" s="153" t="s">
        <v>106</v>
      </c>
      <c r="BA309" s="154" t="s">
        <v>114</v>
      </c>
      <c r="BB309" s="152">
        <v>170557</v>
      </c>
      <c r="BC309" s="153">
        <v>170557</v>
      </c>
      <c r="BD309" s="153">
        <v>170557</v>
      </c>
      <c r="BE309" s="153">
        <v>170557</v>
      </c>
      <c r="BF309" s="153">
        <v>186432</v>
      </c>
      <c r="BG309" s="157"/>
      <c r="BH309" s="155"/>
      <c r="BI309" s="152" t="s">
        <v>920</v>
      </c>
      <c r="BJ309" s="153" t="s">
        <v>920</v>
      </c>
      <c r="BK309" s="153" t="s">
        <v>920</v>
      </c>
      <c r="BL309" s="153" t="s">
        <v>920</v>
      </c>
      <c r="BM309" s="153" t="s">
        <v>920</v>
      </c>
      <c r="BN309" s="154">
        <f>SUMIF(BI309:BM309,"&gt;0",BI309:BM309)</f>
        <v>0</v>
      </c>
      <c r="BO309" s="156"/>
      <c r="BP309" s="148"/>
      <c r="BQ309" s="153"/>
      <c r="BR309" s="153"/>
      <c r="BS309" s="158">
        <v>871448</v>
      </c>
      <c r="BT309" s="165">
        <v>715073</v>
      </c>
      <c r="BU309" s="165">
        <v>172170</v>
      </c>
      <c r="BV309" s="148">
        <v>0</v>
      </c>
      <c r="BW309" s="165">
        <v>44953</v>
      </c>
      <c r="BX309" s="154">
        <f>SUM(BS309:BW309)</f>
        <v>1803644</v>
      </c>
      <c r="BY309" s="143" t="e">
        <f>BI309/BS309</f>
        <v>#VALUE!</v>
      </c>
      <c r="BZ309" s="143" t="e">
        <f>BJ309/BT309</f>
        <v>#VALUE!</v>
      </c>
      <c r="CA309" s="143" t="e">
        <f>BK309/BU309</f>
        <v>#VALUE!</v>
      </c>
      <c r="CB309" s="143" t="e">
        <f>BL309/BV309</f>
        <v>#VALUE!</v>
      </c>
      <c r="CC309" s="143" t="e">
        <f>BM309/BW309</f>
        <v>#VALUE!</v>
      </c>
      <c r="CD309" s="259" t="e">
        <f>AVERAGE(BY309:CC309)</f>
        <v>#VALUE!</v>
      </c>
    </row>
    <row r="310" spans="1:82" ht="14.5">
      <c r="A310" s="143" t="s">
        <v>510</v>
      </c>
      <c r="B310" s="143" t="s">
        <v>1761</v>
      </c>
      <c r="C310" s="144" t="s">
        <v>1762</v>
      </c>
      <c r="D310" s="144" t="s">
        <v>1013</v>
      </c>
      <c r="E310" s="145" t="s">
        <v>1763</v>
      </c>
      <c r="F310" s="143" t="str">
        <f>SUBSTITUTE(E310," ","")</f>
        <v>21008672599</v>
      </c>
      <c r="G310" s="143" t="s">
        <v>1390</v>
      </c>
      <c r="H310" s="143" t="s">
        <v>81</v>
      </c>
      <c r="I310" s="143">
        <v>6225</v>
      </c>
      <c r="J310" s="143">
        <v>-33.396000000000001</v>
      </c>
      <c r="K310" s="143">
        <v>116.274</v>
      </c>
      <c r="L310" s="143" t="s">
        <v>292</v>
      </c>
      <c r="M310" s="143" t="s">
        <v>292</v>
      </c>
      <c r="N310" s="143" t="s">
        <v>292</v>
      </c>
      <c r="O310" s="143"/>
      <c r="P310" s="143"/>
      <c r="Q310" s="143" t="s">
        <v>29</v>
      </c>
      <c r="R310" s="143" t="s">
        <v>29</v>
      </c>
      <c r="S310" s="147"/>
      <c r="T310" s="143"/>
      <c r="U310" s="143"/>
      <c r="V310" s="143"/>
      <c r="W310" s="143"/>
      <c r="X310" s="143"/>
      <c r="Y310" s="143"/>
      <c r="Z310" s="143"/>
      <c r="AA310" s="143"/>
      <c r="AB310" s="143"/>
      <c r="AC310" s="143"/>
      <c r="AD310" s="153"/>
      <c r="AE310" s="153"/>
      <c r="AF310" s="143"/>
      <c r="AG310" s="155"/>
      <c r="AH310" s="147" t="s">
        <v>26</v>
      </c>
      <c r="AI310" s="146" t="s">
        <v>36</v>
      </c>
      <c r="AJ310" s="146" t="s">
        <v>1764</v>
      </c>
      <c r="AK310" s="146" t="s">
        <v>292</v>
      </c>
      <c r="AL310" s="146" t="s">
        <v>75</v>
      </c>
      <c r="AM310" s="143"/>
      <c r="AN310" s="143"/>
      <c r="AO310" s="143"/>
      <c r="AP310" s="152"/>
      <c r="AQ310" s="153"/>
      <c r="AR310" s="153"/>
      <c r="AS310" s="153"/>
      <c r="AT310" s="153"/>
      <c r="AU310" s="154"/>
      <c r="AV310" s="153" t="s">
        <v>106</v>
      </c>
      <c r="AW310" s="153" t="s">
        <v>106</v>
      </c>
      <c r="AX310" s="153" t="s">
        <v>106</v>
      </c>
      <c r="AY310" s="153" t="s">
        <v>106</v>
      </c>
      <c r="AZ310" s="153" t="s">
        <v>106</v>
      </c>
      <c r="BA310" s="154" t="s">
        <v>114</v>
      </c>
      <c r="BB310" s="166">
        <v>132363</v>
      </c>
      <c r="BC310" s="157">
        <v>132363</v>
      </c>
      <c r="BD310" s="157">
        <v>132363</v>
      </c>
      <c r="BE310" s="157">
        <v>132363</v>
      </c>
      <c r="BF310" s="157">
        <v>141510</v>
      </c>
      <c r="BG310" s="157"/>
      <c r="BH310" s="155"/>
      <c r="BI310" s="152" t="s">
        <v>920</v>
      </c>
      <c r="BJ310" s="153" t="s">
        <v>920</v>
      </c>
      <c r="BK310" s="153" t="s">
        <v>920</v>
      </c>
      <c r="BL310" s="153" t="s">
        <v>920</v>
      </c>
      <c r="BM310" s="153" t="s">
        <v>920</v>
      </c>
      <c r="BN310" s="154">
        <f>SUMIF(BI310:BM310,"&gt;0",BI310:BM310)</f>
        <v>0</v>
      </c>
      <c r="BO310" s="156"/>
      <c r="BP310" s="148"/>
      <c r="BQ310" s="153"/>
      <c r="BR310" s="153"/>
      <c r="BS310" s="156" t="s">
        <v>1096</v>
      </c>
      <c r="BT310" s="148" t="s">
        <v>1096</v>
      </c>
      <c r="BU310" s="148" t="s">
        <v>1096</v>
      </c>
      <c r="BV310" s="148" t="s">
        <v>1096</v>
      </c>
      <c r="BW310" s="148" t="s">
        <v>1096</v>
      </c>
      <c r="BX310" s="154">
        <f>SUM(BS310:BW310)</f>
        <v>0</v>
      </c>
      <c r="BY310" s="143" t="e">
        <f>BI310/BS310</f>
        <v>#VALUE!</v>
      </c>
      <c r="BZ310" s="143" t="e">
        <f>BJ310/BT310</f>
        <v>#VALUE!</v>
      </c>
      <c r="CA310" s="143" t="e">
        <f>BK310/BU310</f>
        <v>#VALUE!</v>
      </c>
      <c r="CB310" s="143" t="e">
        <f>BL310/BV310</f>
        <v>#VALUE!</v>
      </c>
      <c r="CC310" s="143" t="e">
        <f>BM310/BW310</f>
        <v>#VALUE!</v>
      </c>
      <c r="CD310" s="143" t="e">
        <f>AVERAGE(BY310:CC310)</f>
        <v>#VALUE!</v>
      </c>
    </row>
    <row r="311" spans="1:82" ht="14.5">
      <c r="A311" s="143" t="s">
        <v>411</v>
      </c>
      <c r="B311" s="143" t="s">
        <v>1421</v>
      </c>
      <c r="C311" s="144" t="s">
        <v>703</v>
      </c>
      <c r="D311" s="159" t="s">
        <v>1422</v>
      </c>
      <c r="E311" s="145" t="s">
        <v>1423</v>
      </c>
      <c r="F311" s="143" t="str">
        <f>SUBSTITUTE(E311," ","")</f>
        <v>44075612216</v>
      </c>
      <c r="G311" s="143" t="s">
        <v>1424</v>
      </c>
      <c r="H311" s="143" t="s">
        <v>31</v>
      </c>
      <c r="I311" s="143">
        <v>2330</v>
      </c>
      <c r="J311" s="143">
        <v>-32.469337000000003</v>
      </c>
      <c r="K311" s="143">
        <v>150.98621900000001</v>
      </c>
      <c r="L311" s="143">
        <v>1949</v>
      </c>
      <c r="M311" s="143">
        <v>73</v>
      </c>
      <c r="N311" s="143" t="s">
        <v>2060</v>
      </c>
      <c r="O311" s="143"/>
      <c r="P311" s="143"/>
      <c r="Q311" s="143" t="s">
        <v>29</v>
      </c>
      <c r="R311" s="143" t="s">
        <v>29</v>
      </c>
      <c r="S311" s="147" t="s">
        <v>612</v>
      </c>
      <c r="T311" s="143">
        <v>1</v>
      </c>
      <c r="U311" s="143" t="s">
        <v>1425</v>
      </c>
      <c r="V311" s="143" t="s">
        <v>1426</v>
      </c>
      <c r="W311" s="143" t="s">
        <v>1397</v>
      </c>
      <c r="X311" s="143" t="s">
        <v>1041</v>
      </c>
      <c r="Y311" s="143" t="s">
        <v>1427</v>
      </c>
      <c r="Z311" s="143" t="s">
        <v>1428</v>
      </c>
      <c r="AA311" s="162">
        <v>42593</v>
      </c>
      <c r="AB311" s="153">
        <v>0</v>
      </c>
      <c r="AC311" s="153" t="s">
        <v>1429</v>
      </c>
      <c r="AD311" s="153">
        <v>300000</v>
      </c>
      <c r="AE311" s="153">
        <v>0</v>
      </c>
      <c r="AF311" s="143" t="s">
        <v>1430</v>
      </c>
      <c r="AG311" s="155" t="s">
        <v>1431</v>
      </c>
      <c r="AH311" s="147" t="s">
        <v>26</v>
      </c>
      <c r="AI311" s="146" t="s">
        <v>69</v>
      </c>
      <c r="AJ311" s="146" t="s">
        <v>1432</v>
      </c>
      <c r="AK311" s="146" t="s">
        <v>21</v>
      </c>
      <c r="AL311" s="143" t="s">
        <v>134</v>
      </c>
      <c r="AM311" s="143" t="s">
        <v>38</v>
      </c>
      <c r="AN311" s="143">
        <v>42</v>
      </c>
      <c r="AO311" s="143" t="s">
        <v>902</v>
      </c>
      <c r="AP311" s="152"/>
      <c r="AQ311" s="153"/>
      <c r="AR311" s="153"/>
      <c r="AS311" s="153"/>
      <c r="AT311" s="153"/>
      <c r="AU311" s="154"/>
      <c r="AV311" s="153" t="s">
        <v>106</v>
      </c>
      <c r="AW311" s="153" t="s">
        <v>106</v>
      </c>
      <c r="AX311" s="153" t="s">
        <v>106</v>
      </c>
      <c r="AY311" s="153" t="s">
        <v>106</v>
      </c>
      <c r="AZ311" s="153" t="s">
        <v>73</v>
      </c>
      <c r="BA311" s="154" t="s">
        <v>73</v>
      </c>
      <c r="BB311" s="152">
        <v>1162065</v>
      </c>
      <c r="BC311" s="153">
        <v>1162065</v>
      </c>
      <c r="BD311" s="153">
        <v>1162065</v>
      </c>
      <c r="BE311" s="157">
        <v>1162065</v>
      </c>
      <c r="BF311" s="157">
        <v>633681</v>
      </c>
      <c r="BG311" s="157"/>
      <c r="BH311" s="155"/>
      <c r="BI311" s="158">
        <v>548415</v>
      </c>
      <c r="BJ311" s="157">
        <v>615950</v>
      </c>
      <c r="BK311" s="153">
        <v>574927</v>
      </c>
      <c r="BL311" s="153">
        <v>562470</v>
      </c>
      <c r="BM311" s="153">
        <v>563127</v>
      </c>
      <c r="BN311" s="154">
        <f>SUMIF(BI311:BM311,"&gt;0",BI311:BM311)</f>
        <v>2864889</v>
      </c>
      <c r="BO311" s="156"/>
      <c r="BP311" s="148"/>
      <c r="BQ311" s="153"/>
      <c r="BR311" s="153"/>
      <c r="BS311" s="152">
        <v>19480000</v>
      </c>
      <c r="BT311" s="148">
        <v>18990000</v>
      </c>
      <c r="BU311" s="148">
        <v>19190000</v>
      </c>
      <c r="BV311" s="148">
        <v>16830000</v>
      </c>
      <c r="BW311" s="148">
        <v>14410000</v>
      </c>
      <c r="BX311" s="154">
        <f>SUM(BS311:BW311)</f>
        <v>88900000</v>
      </c>
      <c r="BY311" s="143">
        <f>BI311/BS311</f>
        <v>2.8152720739219712E-2</v>
      </c>
      <c r="BZ311" s="143">
        <f>BJ311/BT311</f>
        <v>3.2435492364402317E-2</v>
      </c>
      <c r="CA311" s="143">
        <f>BK311/BU311</f>
        <v>2.9959718603439291E-2</v>
      </c>
      <c r="CB311" s="143">
        <f>BL311/BV311</f>
        <v>3.3420677361853834E-2</v>
      </c>
      <c r="CC311" s="143">
        <f>BM311/BW311</f>
        <v>3.9078903539208884E-2</v>
      </c>
      <c r="CD311" s="259">
        <f>AVERAGE(BY311:CC311)</f>
        <v>3.2609502521624811E-2</v>
      </c>
    </row>
    <row r="312" spans="1:82" s="213" customFormat="1" thickBot="1">
      <c r="A312" s="200" t="s">
        <v>601</v>
      </c>
      <c r="B312" s="200" t="s">
        <v>2057</v>
      </c>
      <c r="C312" s="201" t="s">
        <v>850</v>
      </c>
      <c r="D312" s="201" t="s">
        <v>2058</v>
      </c>
      <c r="E312" s="202" t="s">
        <v>851</v>
      </c>
      <c r="F312" s="200" t="str">
        <f>SUBSTITUTE(E312," ","")</f>
        <v>74095441151</v>
      </c>
      <c r="G312" s="200" t="s">
        <v>2059</v>
      </c>
      <c r="H312" s="200" t="s">
        <v>81</v>
      </c>
      <c r="I312" s="200">
        <v>6714</v>
      </c>
      <c r="J312" s="200">
        <v>-20.626389</v>
      </c>
      <c r="K312" s="200">
        <v>116.7775</v>
      </c>
      <c r="L312" s="200">
        <v>2006</v>
      </c>
      <c r="M312" s="200">
        <v>16</v>
      </c>
      <c r="N312" s="200">
        <v>0</v>
      </c>
      <c r="O312" s="200"/>
      <c r="P312" s="200"/>
      <c r="Q312" s="200" t="s">
        <v>159</v>
      </c>
      <c r="R312" s="200" t="s">
        <v>72</v>
      </c>
      <c r="S312" s="203"/>
      <c r="T312" s="200"/>
      <c r="U312" s="200"/>
      <c r="V312" s="200"/>
      <c r="W312" s="200"/>
      <c r="X312" s="200"/>
      <c r="Y312" s="200"/>
      <c r="Z312" s="200"/>
      <c r="AA312" s="200"/>
      <c r="AB312" s="200"/>
      <c r="AC312" s="200"/>
      <c r="AD312" s="204"/>
      <c r="AE312" s="204"/>
      <c r="AF312" s="200"/>
      <c r="AG312" s="205"/>
      <c r="AH312" s="206" t="s">
        <v>37</v>
      </c>
      <c r="AI312" s="207" t="s">
        <v>76</v>
      </c>
      <c r="AJ312" s="207" t="s">
        <v>70</v>
      </c>
      <c r="AK312" s="207" t="s">
        <v>70</v>
      </c>
      <c r="AL312" s="207" t="s">
        <v>118</v>
      </c>
      <c r="AM312" s="207" t="s">
        <v>70</v>
      </c>
      <c r="AN312" s="207" t="s">
        <v>70</v>
      </c>
      <c r="AO312" s="207" t="s">
        <v>70</v>
      </c>
      <c r="AP312" s="208"/>
      <c r="AQ312" s="204"/>
      <c r="AR312" s="204"/>
      <c r="AS312" s="204"/>
      <c r="AT312" s="204"/>
      <c r="AU312" s="209"/>
      <c r="AV312" s="204" t="s">
        <v>106</v>
      </c>
      <c r="AW312" s="204" t="s">
        <v>106</v>
      </c>
      <c r="AX312" s="204" t="s">
        <v>106</v>
      </c>
      <c r="AY312" s="204" t="s">
        <v>106</v>
      </c>
      <c r="AZ312" s="204" t="s">
        <v>73</v>
      </c>
      <c r="BA312" s="209" t="s">
        <v>73</v>
      </c>
      <c r="BB312" s="208">
        <v>1623773</v>
      </c>
      <c r="BC312" s="204">
        <v>1623773</v>
      </c>
      <c r="BD312" s="204">
        <v>1623773</v>
      </c>
      <c r="BE312" s="210">
        <v>1623773</v>
      </c>
      <c r="BF312" s="210">
        <v>1512283</v>
      </c>
      <c r="BG312" s="210"/>
      <c r="BH312" s="205"/>
      <c r="BI312" s="208" t="s">
        <v>920</v>
      </c>
      <c r="BJ312" s="204">
        <v>1512492</v>
      </c>
      <c r="BK312" s="204">
        <v>992241</v>
      </c>
      <c r="BL312" s="204">
        <v>1059896</v>
      </c>
      <c r="BM312" s="204">
        <v>1456927</v>
      </c>
      <c r="BN312" s="209">
        <f>SUMIF(BI312:BM312,"&gt;0",BI312:BM312)</f>
        <v>5021556</v>
      </c>
      <c r="BO312" s="211"/>
      <c r="BP312" s="212"/>
      <c r="BQ312" s="204"/>
      <c r="BR312" s="204"/>
      <c r="BS312" s="208"/>
      <c r="BT312" s="212"/>
      <c r="BU312" s="212"/>
      <c r="BV312" s="212"/>
      <c r="BW312" s="212"/>
      <c r="BX312" s="209">
        <f>SUM(BS312:BW312)</f>
        <v>0</v>
      </c>
      <c r="BY312" s="200"/>
      <c r="BZ312" s="200"/>
      <c r="CA312" s="200"/>
      <c r="CB312" s="200"/>
      <c r="CC312" s="200"/>
      <c r="CD312" s="200"/>
    </row>
  </sheetData>
  <autoFilter ref="A3:CD312" xr:uid="{00000000-0009-0000-0000-000012000000}">
    <sortState xmlns:xlrd2="http://schemas.microsoft.com/office/spreadsheetml/2017/richdata2" ref="A4:CD312">
      <sortCondition ref="D3:D312"/>
    </sortState>
  </autoFilter>
  <customSheetViews>
    <customSheetView guid="{C15A6F2C-5042-404F-8800-DD7B8CC74477}" filter="1" showAutoFilter="1">
      <pageMargins left="0.7" right="0.7" top="0.75" bottom="0.75" header="0.3" footer="0.3"/>
      <autoFilter ref="A3:CD312" xr:uid="{AF53E17F-3AC4-4415-9457-3830CC10DA6B}">
        <filterColumn colId="20">
          <filters>
            <filter val="EOP100093"/>
            <filter val="EOP100163,  EOP100103 and EOP100182"/>
            <filter val="EOP100172 and ERF167268"/>
            <filter val="EOP100181 and ERF101358"/>
            <filter val="EOP100183"/>
            <filter val="EOP100203, EOP100654, EOP100818 and ERF101451"/>
            <filter val="EOP100560"/>
            <filter val="EOP101217"/>
            <filter val="EOP101225"/>
            <filter val="EOP101248"/>
            <filter val="ERF101339"/>
            <filter val="ERF101356 and EOP100559"/>
            <filter val="ERF101428"/>
            <filter val="ERF101774"/>
            <filter val="ERF101810"/>
            <filter val="ERF101999"/>
            <filter val="ERF103850 and EOP101247"/>
            <filter val="ERF104102"/>
            <filter val="ERF104237"/>
            <filter val="ERF105023"/>
            <filter val="ERF105101"/>
            <filter val="ERF107285 and ERF171724"/>
            <filter val="ERF111369"/>
            <filter val="ERF119472"/>
            <filter val="ERF121917"/>
            <filter val="ERF121928"/>
            <filter val="ERF126414"/>
            <filter val="ERF130290 and ERF166387"/>
            <filter val="ERF132643 and EOP100096"/>
            <filter val="ERF160887"/>
            <filter val="ERF163960"/>
            <filter val="ERF164457 and ERF164493"/>
            <filter val="ERF165179"/>
            <filter val="ERF168568"/>
            <filter val="ERF168879"/>
            <filter val="ERF169131"/>
            <filter val="ERF169184"/>
            <filter val="ERF169256"/>
            <filter val="ERF169259 and EOP101244"/>
            <filter val="ERF170772"/>
            <filter val="ERF172930 and ERF123378"/>
            <filter val="ERF174186"/>
            <filter val="ERF174247"/>
          </filters>
        </filterColumn>
        <sortState xmlns:xlrd2="http://schemas.microsoft.com/office/spreadsheetml/2017/richdata2" ref="A3:CD312">
          <sortCondition ref="AF3:AF312"/>
          <sortCondition ref="A3:A312"/>
        </sortState>
      </autoFilter>
    </customSheetView>
    <customSheetView guid="{A4D9D91F-BD4E-40EB-BD91-B78634CC6ACF}" filter="1" showAutoFilter="1">
      <pageMargins left="0.7" right="0.7" top="0.75" bottom="0.75" header="0.3" footer="0.3"/>
      <autoFilter ref="A3:CD312" xr:uid="{3026BECC-A825-42E6-A656-4345F75E75BA}">
        <sortState xmlns:xlrd2="http://schemas.microsoft.com/office/spreadsheetml/2017/richdata2" ref="A3:CD312">
          <sortCondition ref="A3:A312"/>
          <sortCondition ref="C3:C312"/>
        </sortState>
      </autoFilter>
    </customSheetView>
    <customSheetView guid="{FC01355F-6FF5-41EC-9220-01D9EEFC83FF}" filter="1" showAutoFilter="1">
      <pageMargins left="0.7" right="0.7" top="0.75" bottom="0.75" header="0.3" footer="0.3"/>
      <autoFilter ref="A3:CD312" xr:uid="{DBEACE70-DF7B-445F-B409-F9DDE9F3121B}">
        <filterColumn colId="0">
          <colorFilter dxfId="50"/>
        </filterColumn>
        <sortState xmlns:xlrd2="http://schemas.microsoft.com/office/spreadsheetml/2017/richdata2" ref="A3:CD312">
          <sortCondition ref="A3:A312"/>
          <sortCondition ref="CD3:CD312"/>
          <sortCondition ref="CC3:CC312"/>
          <sortCondition ref="BW3:BW312"/>
          <sortCondition ref="BV3:BV312"/>
          <sortCondition ref="BU3:BU312"/>
          <sortCondition ref="BT3:BT312"/>
          <sortCondition ref="BS3:BS312"/>
          <sortCondition ref="AM3:AM312"/>
          <sortCondition ref="R3:R312"/>
        </sortState>
      </autoFilter>
    </customSheetView>
    <customSheetView guid="{126296A1-39B8-4F9F-92BD-1F72BDB7F81F}" filter="1" showAutoFilter="1">
      <pageMargins left="0.7" right="0.7" top="0.75" bottom="0.75" header="0.3" footer="0.3"/>
      <autoFilter ref="A3:CD312" xr:uid="{7B237C35-8F76-4E73-BDC1-4484AA5AC044}">
        <sortState xmlns:xlrd2="http://schemas.microsoft.com/office/spreadsheetml/2017/richdata2" ref="A3:CD312">
          <sortCondition ref="A3:A312"/>
        </sortState>
      </autoFilter>
    </customSheetView>
  </customSheetViews>
  <mergeCells count="11">
    <mergeCell ref="BI2:BN2"/>
    <mergeCell ref="BO2:BR2"/>
    <mergeCell ref="BS2:BX2"/>
    <mergeCell ref="BY2:CD2"/>
    <mergeCell ref="A2:B2"/>
    <mergeCell ref="E2:R2"/>
    <mergeCell ref="S2:AG2"/>
    <mergeCell ref="AH2:AO2"/>
    <mergeCell ref="AP2:AU2"/>
    <mergeCell ref="AV2:BA2"/>
    <mergeCell ref="BB2:BH2"/>
  </mergeCells>
  <conditionalFormatting sqref="AP4:BA312">
    <cfRule type="beginsWith" dxfId="49" priority="1" operator="beginsWith" text="Reported baseline">
      <formula>LEFT((AP4),LEN("Reported baseline"))=("Reported baseline")</formula>
    </cfRule>
  </conditionalFormatting>
  <conditionalFormatting sqref="AP4:BA312">
    <cfRule type="beginsWith" dxfId="48" priority="2" operator="beginsWith" text="Production-adjusted">
      <formula>LEFT((AP4),LEN("Production-adjusted"))=("Production-adjusted")</formula>
    </cfRule>
  </conditionalFormatting>
  <conditionalFormatting sqref="AP4:BA312">
    <cfRule type="beginsWith" dxfId="47" priority="3" operator="beginsWith" text="Default">
      <formula>LEFT((AP4),LEN("Default"))=("Default")</formula>
    </cfRule>
  </conditionalFormatting>
  <conditionalFormatting sqref="AP4:BA312">
    <cfRule type="cellIs" dxfId="46" priority="4" operator="equal">
      <formula>"Multi-year monitoring period (underlying BDT: Calculated baseline: Inherent emissions variability criteria)"</formula>
    </cfRule>
  </conditionalFormatting>
  <conditionalFormatting sqref="AP4:BA312">
    <cfRule type="cellIs" dxfId="45" priority="5" operator="equal">
      <formula>"Multi-year monitoring period (underlying BDT: no other baseline determination type available and none can be assumed)"</formula>
    </cfRule>
  </conditionalFormatting>
  <conditionalFormatting sqref="AP4:BA312">
    <cfRule type="cellIs" dxfId="44" priority="6" operator="equal">
      <formula>"Multi-year monitoring period (underlying BDT: Reported baseline)"</formula>
    </cfRule>
  </conditionalFormatting>
  <conditionalFormatting sqref="AP4:BA312">
    <cfRule type="cellIs" dxfId="43" priority="7" operator="equal">
      <formula>"Multi-year monitoring period (underlying BDT: Production-adjusted baseline)"</formula>
    </cfRule>
  </conditionalFormatting>
  <conditionalFormatting sqref="AP4:BA312">
    <cfRule type="cellIs" dxfId="42" priority="8" operator="equal">
      <formula>"Multi-year monitoring period (underlying BDT: no other baseline determination type available but assumed default)"</formula>
    </cfRule>
  </conditionalFormatting>
  <conditionalFormatting sqref="AP4:BA312">
    <cfRule type="cellIs" dxfId="41" priority="9" operator="equal">
      <formula>"Multi-year monitoring period (underlying BDT: Emissions intensity variation)"</formula>
    </cfRule>
  </conditionalFormatting>
  <conditionalFormatting sqref="AP4:BA312">
    <cfRule type="cellIs" dxfId="40" priority="10" operator="equal">
      <formula>"Calculated Baseline: inherent emissions variability"</formula>
    </cfRule>
  </conditionalFormatting>
  <conditionalFormatting sqref="AP4:BA312">
    <cfRule type="cellIs" dxfId="39" priority="11" operator="equal">
      <formula>"Calculated: New facility criteria"</formula>
    </cfRule>
  </conditionalFormatting>
  <conditionalFormatting sqref="AP4:BA312">
    <cfRule type="cellIs" dxfId="38" priority="12" operator="equal">
      <formula>"Multi-year monitoring period (underlying BDT: Calculated baseline: New facility criteria)"</formula>
    </cfRule>
  </conditionalFormatting>
  <conditionalFormatting sqref="AP4:BA312">
    <cfRule type="cellIs" dxfId="37" priority="13" operator="equal">
      <formula>"Calculated: Initial calculated baseline criteria"</formula>
    </cfRule>
  </conditionalFormatting>
  <conditionalFormatting sqref="AP4:BA312">
    <cfRule type="cellIs" dxfId="36" priority="14" operator="equal">
      <formula>"Multi-year monitoring period (underlying BDT: Calculated baseline: Initial calculated baseline criteria)"</formula>
    </cfRule>
  </conditionalFormatting>
  <conditionalFormatting sqref="AP4:BA312">
    <cfRule type="cellIs" dxfId="35" priority="15" operator="equal">
      <formula>"Calculated: Transitional calculated baseline criteria"</formula>
    </cfRule>
  </conditionalFormatting>
  <conditionalFormatting sqref="AP4:BA312">
    <cfRule type="cellIs" dxfId="34" priority="16" operator="equal">
      <formula>"Multi-year monitoring period (underlying BDT: Calculated baseline: Transitional calculated baseline criteria)"</formula>
    </cfRule>
  </conditionalFormatting>
  <conditionalFormatting sqref="BG2:BG312 BB2:BE312">
    <cfRule type="expression" dxfId="33" priority="17">
      <formula>AV:AV="Reported baseline"</formula>
    </cfRule>
  </conditionalFormatting>
  <conditionalFormatting sqref="BF2:BF312 BH30 BE43 BH117">
    <cfRule type="expression" dxfId="32" priority="21">
      <formula>AZ:AZ="Reported baseline"</formula>
    </cfRule>
  </conditionalFormatting>
  <conditionalFormatting sqref="BB2:BE312 BG2:BG312">
    <cfRule type="expression" dxfId="31" priority="23">
      <formula>AV:AV="Production-adjusted baseline"</formula>
    </cfRule>
  </conditionalFormatting>
  <conditionalFormatting sqref="BF2:BF312 BH30 BE43 BH117">
    <cfRule type="expression" dxfId="30" priority="27">
      <formula>AZ:AZ="Production-adjusted baseline"</formula>
    </cfRule>
  </conditionalFormatting>
  <conditionalFormatting sqref="BB2:BE312 BG2:BG312">
    <cfRule type="expression" dxfId="29" priority="29">
      <formula>AV:AV="Multi-year monitoring period (underlying BDT: Production-adjusted baseline)"</formula>
    </cfRule>
  </conditionalFormatting>
  <conditionalFormatting sqref="BF2:BF312 BH30 BE43 BH117">
    <cfRule type="expression" dxfId="28" priority="33">
      <formula>AZ:AZ="Multi-year monitoring period (underlying BDT: Production-adjusted baseline)"</formula>
    </cfRule>
  </conditionalFormatting>
  <conditionalFormatting sqref="BB2:BE312 BG2:BG312">
    <cfRule type="expression" dxfId="27" priority="35">
      <formula>AV:AV="Emissions intensity variation"</formula>
    </cfRule>
  </conditionalFormatting>
  <conditionalFormatting sqref="BF2:BF312 BH30 BE43 BH117">
    <cfRule type="expression" dxfId="26" priority="39">
      <formula>AZ:AZ="Emissions intensity variation"</formula>
    </cfRule>
  </conditionalFormatting>
  <conditionalFormatting sqref="BB2:BE312 BG2:BG312">
    <cfRule type="expression" dxfId="25" priority="41">
      <formula>AV:AV="Multi-year monitoring period (underlying BDT: Emissions intensity variation)"</formula>
    </cfRule>
  </conditionalFormatting>
  <conditionalFormatting sqref="BF2:BF312 BH30 BE43 BH117">
    <cfRule type="expression" dxfId="24" priority="45">
      <formula>AZ:AZ="Multi-year monitoring period (underlying BDT: Emissions intensity variation)"</formula>
    </cfRule>
  </conditionalFormatting>
  <conditionalFormatting sqref="BB2:BB312">
    <cfRule type="expression" dxfId="23" priority="47">
      <formula>AV:AV="Calculated: Transitional calculated baseline criteria"</formula>
    </cfRule>
  </conditionalFormatting>
  <conditionalFormatting sqref="BG2:BG312 BC2:BE312">
    <cfRule type="expression" dxfId="22" priority="48">
      <formula>AW:AW="Multi-year monitoring period (underlying BDT: Calculated baseline: Transitional calculated baseline criteria)"</formula>
    </cfRule>
  </conditionalFormatting>
  <conditionalFormatting sqref="BF2:BF312 BH30 BE43 BH117">
    <cfRule type="expression" dxfId="21" priority="50">
      <formula>AZ:AZ="Multi-year monitoring period (underlying BDT: Calculated baseline: Transitional calculated baseline criteria)"</formula>
    </cfRule>
  </conditionalFormatting>
  <conditionalFormatting sqref="BB2:BE312 BG2:BG312">
    <cfRule type="expression" dxfId="20" priority="53">
      <formula>AV:AV="Calculated Baseline: inherent emissions variability"</formula>
    </cfRule>
  </conditionalFormatting>
  <conditionalFormatting sqref="BF2:BF312 BH30 BE43 BH117">
    <cfRule type="expression" dxfId="19" priority="57">
      <formula>AZ:AZ="Calculated Baseline: inherent emissions variability"</formula>
    </cfRule>
  </conditionalFormatting>
  <conditionalFormatting sqref="BB2:BG312">
    <cfRule type="expression" dxfId="18" priority="59">
      <formula>AV:AV="Multi-year monitoring period (underlying BDT: Calculated baseline: Inherent emissions variability criteria)"</formula>
    </cfRule>
  </conditionalFormatting>
  <conditionalFormatting sqref="BB2:BE312 BG2:BG312">
    <cfRule type="expression" dxfId="17" priority="65">
      <formula>AV:AV="Multi-year monitoring period (underlying BDT: Reported baseline)"</formula>
    </cfRule>
  </conditionalFormatting>
  <conditionalFormatting sqref="BF2:BF312 BH30 BE43 BH117">
    <cfRule type="expression" dxfId="16" priority="69">
      <formula>AZ:AZ="Multi-year monitoring period (underlying BDT: Reported baseline)"</formula>
    </cfRule>
  </conditionalFormatting>
  <conditionalFormatting sqref="BB2:BE312 BG2:BG312">
    <cfRule type="expression" dxfId="15" priority="71">
      <formula>AV:AV="Multi-year monitoring period (underlying BDT: no other baseline determination type available but assumed default)"</formula>
    </cfRule>
  </conditionalFormatting>
  <conditionalFormatting sqref="BF2:BF312 BH30 BE43 BH117">
    <cfRule type="expression" dxfId="14" priority="75">
      <formula>AZ:AZ="Multi-year monitoring period (underlying BDT: no other baseline determination type available but assumed default)"</formula>
    </cfRule>
  </conditionalFormatting>
  <conditionalFormatting sqref="BB2:BC312 BE2:BE312 BG2:BG312">
    <cfRule type="expression" dxfId="13" priority="77">
      <formula>AV:AV="Default"</formula>
    </cfRule>
  </conditionalFormatting>
  <conditionalFormatting sqref="BD2:BD312">
    <cfRule type="expression" dxfId="12" priority="79">
      <formula>AX:AX="Default"</formula>
    </cfRule>
  </conditionalFormatting>
  <conditionalFormatting sqref="BF2:BF312 BH30 BE43 BH117">
    <cfRule type="expression" dxfId="11" priority="81">
      <formula>AZ:AZ="Default"</formula>
    </cfRule>
  </conditionalFormatting>
  <conditionalFormatting sqref="BB2:BF312">
    <cfRule type="expression" dxfId="10" priority="83">
      <formula>AV:AV="Calculated: Initial calculated baseline criteria"</formula>
    </cfRule>
  </conditionalFormatting>
  <conditionalFormatting sqref="BG2:BG312">
    <cfRule type="expression" dxfId="9" priority="88">
      <formula>BA:BA="Calculated: Initial calculated baseline criteria"</formula>
    </cfRule>
  </conditionalFormatting>
  <conditionalFormatting sqref="BB2:BG312">
    <cfRule type="expression" dxfId="8" priority="89">
      <formula>AV:AV="Multi-year monitoring period (underlying BDT: Calculated baseline: Initial calculated baseline criteria)"</formula>
    </cfRule>
  </conditionalFormatting>
  <conditionalFormatting sqref="BB2:BB312 BC4:BC312">
    <cfRule type="expression" dxfId="7" priority="94">
      <formula>AV:AV="Calculated: New facility criteria"</formula>
    </cfRule>
  </conditionalFormatting>
  <conditionalFormatting sqref="BD2:BG312">
    <cfRule type="expression" dxfId="6" priority="96">
      <formula>AX:AX="Calculated: New facility criteria"</formula>
    </cfRule>
  </conditionalFormatting>
  <conditionalFormatting sqref="BB2:BC312">
    <cfRule type="expression" dxfId="5" priority="100">
      <formula>AV:AV="Multi-year monitoring period (underlying BDT: Calculated baseline: New facility criteria)"</formula>
    </cfRule>
  </conditionalFormatting>
  <conditionalFormatting sqref="BD2:BG312">
    <cfRule type="expression" dxfId="4" priority="102">
      <formula>AX:AX="Multi-year monitoring period (underlying BDT: Calculated baseline: New facility criteria)"</formula>
    </cfRule>
  </conditionalFormatting>
  <conditionalFormatting sqref="BF2:BF312 BH30 BE43 BH117">
    <cfRule type="expression" dxfId="3" priority="106">
      <formula>AZ:AZ="Multi-year monitoring period (underlying BDT: Calculated baseline: Inherent emissions variability criteria)"</formula>
    </cfRule>
  </conditionalFormatting>
  <conditionalFormatting sqref="BB2:BE312 BG2:BG312">
    <cfRule type="expression" dxfId="2" priority="107">
      <formula>AV:AV="Calculated: Transitional calculated baseline criteria"</formula>
    </cfRule>
  </conditionalFormatting>
  <conditionalFormatting sqref="BF2:BF312 BH30 BE43 BH117">
    <cfRule type="expression" dxfId="1" priority="111">
      <formula>AZ:AZ="Calculated: Transitional calculated baseline criteria"</formula>
    </cfRule>
  </conditionalFormatting>
  <conditionalFormatting sqref="AP4:BA312">
    <cfRule type="cellIs" dxfId="0" priority="115" operator="equal">
      <formula>"Emissions intensity variation"</formula>
    </cfRule>
  </conditionalFormatting>
  <dataValidations count="2">
    <dataValidation type="decimal" allowBlank="1" showDropDown="1" showInputMessage="1" prompt="Enter a number in the cell and attach a note if necessary" sqref="BS5:BW5 BS9:BW9 BS13:BW13 BS19:BW19 BS24:BW24 BS26:BW26 BS28:BW29 BS32:BW34 BS38:BW41 BS44:BW44 BS46:BW47 BS49:BW49 BS54:BW55 BS59:BW59 BS63:BW63 BS65:BW66 BS68:BW68 BS72:BW72 BS74:BW75 BS77:BW77 BS79:BW80 BS82:BW82 BS89:BW89 BS100:BW100 BS106:BW106 BS108:BW108 BS114:BW115 BS117:BW117 BS121:BW121 BS123:BW126 BS131:BW131 BS137:BW137 BS144:BW144 BS146:BW148 BS150:BW150 BS152:BW152 BS154:BW156 BS160:BW160 BS163:BW163 BS165:BW165 BS167:BW170 BS173:BW173 BS175:BW176 BS179:BW179 BS183:BW183 BS190:BW190 BS193:BW193 BS198:BW198 BS208:BW208 BS215:BW215 BS220:BW220 BS237:BW238 BS245:BW245 BS247:BW247 BS250:BW250 BS252:BW252 BS257:BW257 BS259:BW259 BS261:BW261 BS263:BW263 BS272:BW272 BS283:BW284 BS294:BW296 BS298:BW298 BS303:BW305 BS310:BW310" xr:uid="{00000000-0002-0000-1200-000001000000}">
      <formula1>1</formula1>
      <formula2>25000000</formula2>
    </dataValidation>
    <dataValidation type="list" allowBlank="1" sqref="Q4:Q312" xr:uid="{00000000-0002-0000-1200-000009000000}">
      <formula1>#REF!</formula1>
    </dataValidation>
  </dataValidations>
  <pageMargins left="0.7" right="0.7" top="0.75" bottom="0.75" header="0.3" footer="0.3"/>
  <pageSetup orientation="portrait" horizontalDpi="1200" verticalDpi="1200" r:id="rId1"/>
  <legacyDrawing r:id="rId2"/>
  <extLst>
    <ext xmlns:x14="http://schemas.microsoft.com/office/spreadsheetml/2009/9/main" uri="{CCE6A557-97BC-4b89-ADB6-D9C93CAAB3DF}">
      <x14:dataValidations xmlns:xm="http://schemas.microsoft.com/office/excel/2006/main" count="9">
        <x14:dataValidation type="list" allowBlank="1" xr:uid="{00000000-0002-0000-1200-000003000000}">
          <x14:formula1>
            <xm:f>dropdowns!$E$2:$E$31</xm:f>
          </x14:formula1>
          <xm:sqref>AL4:AL312</xm:sqref>
        </x14:dataValidation>
        <x14:dataValidation type="list" allowBlank="1" xr:uid="{00000000-0002-0000-1200-000004000000}">
          <x14:formula1>
            <xm:f>dropdowns!$B$2:$B$12</xm:f>
          </x14:formula1>
          <xm:sqref>R4:R312</xm:sqref>
        </x14:dataValidation>
        <x14:dataValidation type="list" allowBlank="1" showErrorMessage="1" xr:uid="{00000000-0002-0000-1200-000005000000}">
          <x14:formula1>
            <xm:f>dropdowns!$J$2:$J$8</xm:f>
          </x14:formula1>
          <xm:sqref>AI4:AI312</xm:sqref>
        </x14:dataValidation>
        <x14:dataValidation type="list" allowBlank="1" xr:uid="{00000000-0002-0000-1200-000006000000}">
          <x14:formula1>
            <xm:f>dropdowns!$C$2:$C$21</xm:f>
          </x14:formula1>
          <xm:sqref>AV4:BA312</xm:sqref>
        </x14:dataValidation>
        <x14:dataValidation type="list" allowBlank="1" xr:uid="{00000000-0002-0000-1200-000008000000}">
          <x14:formula1>
            <xm:f>dropdowns!$K$2:$K$4</xm:f>
          </x14:formula1>
          <xm:sqref>S4:S312</xm:sqref>
        </x14:dataValidation>
        <x14:dataValidation type="list" allowBlank="1" xr:uid="{00000000-0002-0000-1200-000000000000}">
          <x14:formula1>
            <xm:f>dropdowns!D$2:D$9</xm:f>
          </x14:formula1>
          <xm:sqref>H4:H5 H7:H13 H19 H23:H27 H29:H61 H63:H75 H77:H83 H85:H89 H92 H94 H96:H104 H108:H126 H128:H170 H172:H181 H183 H185:H210 H212:H222 H224:H225 H228:H229 H231:H233 H235:H241 H243:H264 H266:H267 H269:H277 H279:H284 H286 H291:H298 H301:H312</xm:sqref>
        </x14:dataValidation>
        <x14:dataValidation type="list" allowBlank="1" xr:uid="{0524E30E-57AE-4F7E-86ED-97C9AEE419EE}">
          <x14:formula1>
            <xm:f>dropdowns!K$2:K$4</xm:f>
          </x14:formula1>
          <xm:sqref>AH4:AH312</xm:sqref>
        </x14:dataValidation>
        <x14:dataValidation type="list" allowBlank="1" xr:uid="{00000000-0002-0000-1200-000007000000}">
          <x14:formula1>
            <xm:f>dropdowns!H$2:H$6</xm:f>
          </x14:formula1>
          <xm:sqref>O4:O312</xm:sqref>
        </x14:dataValidation>
        <x14:dataValidation type="list" allowBlank="1" xr:uid="{00000000-0002-0000-1200-00000A000000}">
          <x14:formula1>
            <xm:f>dropdowns!L$2:L$10</xm:f>
          </x14:formula1>
          <xm:sqref>AM4:AM312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L180"/>
  <sheetViews>
    <sheetView workbookViewId="0">
      <pane ySplit="1" topLeftCell="A2" activePane="bottomLeft" state="frozen"/>
      <selection pane="bottomLeft" activeCell="B3" sqref="B3"/>
    </sheetView>
  </sheetViews>
  <sheetFormatPr defaultColWidth="14.453125" defaultRowHeight="15" customHeight="1"/>
  <cols>
    <col min="1" max="2" width="56.453125" customWidth="1"/>
    <col min="3" max="3" width="71.54296875" customWidth="1"/>
  </cols>
  <sheetData>
    <row r="1" spans="1:12">
      <c r="A1" s="3" t="s">
        <v>4</v>
      </c>
      <c r="B1" s="4" t="s">
        <v>5</v>
      </c>
      <c r="C1" s="5" t="s">
        <v>6</v>
      </c>
      <c r="D1" s="6" t="s">
        <v>7</v>
      </c>
      <c r="E1" s="7" t="s">
        <v>8</v>
      </c>
      <c r="F1" s="3" t="s">
        <v>9</v>
      </c>
      <c r="G1" s="8" t="s">
        <v>10</v>
      </c>
      <c r="H1" s="3" t="s">
        <v>11</v>
      </c>
      <c r="I1" s="8" t="s">
        <v>12</v>
      </c>
      <c r="J1" s="3" t="s">
        <v>13</v>
      </c>
      <c r="K1" s="3" t="s">
        <v>14</v>
      </c>
      <c r="L1" s="3" t="s">
        <v>15</v>
      </c>
    </row>
    <row r="2" spans="1:12">
      <c r="A2" s="9" t="s">
        <v>16</v>
      </c>
      <c r="B2" s="10" t="s">
        <v>17</v>
      </c>
      <c r="C2" s="11" t="s">
        <v>18</v>
      </c>
      <c r="D2" s="12" t="s">
        <v>19</v>
      </c>
      <c r="E2" s="13" t="s">
        <v>20</v>
      </c>
      <c r="F2" s="13" t="s">
        <v>21</v>
      </c>
      <c r="G2" s="14" t="s">
        <v>22</v>
      </c>
      <c r="H2" s="13" t="s">
        <v>23</v>
      </c>
      <c r="I2" s="15" t="s">
        <v>24</v>
      </c>
      <c r="J2" s="13" t="s">
        <v>25</v>
      </c>
      <c r="K2" s="13" t="s">
        <v>26</v>
      </c>
      <c r="L2" s="13" t="s">
        <v>27</v>
      </c>
    </row>
    <row r="3" spans="1:12">
      <c r="A3" s="9" t="s">
        <v>28</v>
      </c>
      <c r="B3" s="16" t="s">
        <v>29</v>
      </c>
      <c r="C3" s="17" t="s">
        <v>30</v>
      </c>
      <c r="D3" s="12" t="s">
        <v>31</v>
      </c>
      <c r="E3" s="13" t="s">
        <v>32</v>
      </c>
      <c r="F3" s="13" t="s">
        <v>33</v>
      </c>
      <c r="G3" s="15" t="s">
        <v>34</v>
      </c>
      <c r="H3" s="13" t="s">
        <v>35</v>
      </c>
      <c r="I3" s="18"/>
      <c r="J3" s="13" t="s">
        <v>36</v>
      </c>
      <c r="K3" s="19" t="s">
        <v>37</v>
      </c>
      <c r="L3" s="19" t="s">
        <v>38</v>
      </c>
    </row>
    <row r="4" spans="1:12">
      <c r="A4" s="9" t="s">
        <v>39</v>
      </c>
      <c r="B4" s="16" t="s">
        <v>40</v>
      </c>
      <c r="C4" s="20" t="s">
        <v>41</v>
      </c>
      <c r="D4" s="12" t="s">
        <v>42</v>
      </c>
      <c r="E4" s="19" t="s">
        <v>43</v>
      </c>
      <c r="F4" s="21" t="s">
        <v>44</v>
      </c>
      <c r="G4" s="15" t="s">
        <v>45</v>
      </c>
      <c r="H4" s="19" t="s">
        <v>46</v>
      </c>
      <c r="I4" s="22"/>
      <c r="J4" s="13" t="s">
        <v>47</v>
      </c>
      <c r="K4" s="21" t="s">
        <v>48</v>
      </c>
      <c r="L4" s="13" t="s">
        <v>49</v>
      </c>
    </row>
    <row r="5" spans="1:12">
      <c r="A5" s="9" t="s">
        <v>50</v>
      </c>
      <c r="B5" s="16" t="s">
        <v>51</v>
      </c>
      <c r="C5" s="23" t="s">
        <v>52</v>
      </c>
      <c r="D5" s="12" t="s">
        <v>53</v>
      </c>
      <c r="E5" s="19" t="s">
        <v>54</v>
      </c>
      <c r="F5" s="22"/>
      <c r="G5" s="18"/>
      <c r="H5" s="13" t="s">
        <v>55</v>
      </c>
      <c r="I5" s="18"/>
      <c r="J5" s="19" t="s">
        <v>56</v>
      </c>
      <c r="K5" s="18"/>
      <c r="L5" s="24" t="s">
        <v>57</v>
      </c>
    </row>
    <row r="6" spans="1:12">
      <c r="A6" s="9" t="s">
        <v>29</v>
      </c>
      <c r="B6" s="10" t="s">
        <v>58</v>
      </c>
      <c r="C6" s="25" t="s">
        <v>59</v>
      </c>
      <c r="D6" s="12" t="s">
        <v>60</v>
      </c>
      <c r="E6" s="13" t="s">
        <v>61</v>
      </c>
      <c r="F6" s="18"/>
      <c r="G6" s="22"/>
      <c r="H6" s="26" t="s">
        <v>48</v>
      </c>
      <c r="I6" s="18"/>
      <c r="J6" s="19" t="s">
        <v>62</v>
      </c>
      <c r="K6" s="22"/>
      <c r="L6" s="27" t="s">
        <v>63</v>
      </c>
    </row>
    <row r="7" spans="1:12">
      <c r="A7" s="9" t="s">
        <v>64</v>
      </c>
      <c r="B7" s="10" t="s">
        <v>65</v>
      </c>
      <c r="C7" s="28" t="s">
        <v>66</v>
      </c>
      <c r="D7" s="12" t="s">
        <v>67</v>
      </c>
      <c r="E7" s="13" t="s">
        <v>68</v>
      </c>
      <c r="F7" s="18"/>
      <c r="G7" s="18"/>
      <c r="H7" s="18"/>
      <c r="I7" s="22"/>
      <c r="J7" s="13" t="s">
        <v>69</v>
      </c>
      <c r="K7" s="18"/>
      <c r="L7" s="13" t="s">
        <v>70</v>
      </c>
    </row>
    <row r="8" spans="1:12">
      <c r="A8" s="9" t="s">
        <v>71</v>
      </c>
      <c r="B8" s="16" t="s">
        <v>72</v>
      </c>
      <c r="C8" s="29" t="s">
        <v>73</v>
      </c>
      <c r="D8" s="12" t="s">
        <v>74</v>
      </c>
      <c r="E8" s="19" t="s">
        <v>75</v>
      </c>
      <c r="F8" s="22"/>
      <c r="G8" s="18"/>
      <c r="H8" s="18"/>
      <c r="I8" s="18"/>
      <c r="J8" s="26" t="s">
        <v>76</v>
      </c>
      <c r="K8" s="18"/>
      <c r="L8" s="24" t="s">
        <v>77</v>
      </c>
    </row>
    <row r="9" spans="1:12">
      <c r="A9" s="9" t="s">
        <v>78</v>
      </c>
      <c r="B9" s="10" t="s">
        <v>79</v>
      </c>
      <c r="C9" s="30" t="s">
        <v>80</v>
      </c>
      <c r="D9" s="31" t="s">
        <v>81</v>
      </c>
      <c r="E9" s="13" t="s">
        <v>82</v>
      </c>
      <c r="F9" s="18"/>
      <c r="G9" s="22"/>
      <c r="H9" s="22"/>
      <c r="I9" s="18"/>
      <c r="J9" s="18"/>
      <c r="K9" s="32"/>
      <c r="L9" s="33" t="s">
        <v>83</v>
      </c>
    </row>
    <row r="10" spans="1:12">
      <c r="A10" s="9" t="s">
        <v>84</v>
      </c>
      <c r="B10" s="34" t="s">
        <v>85</v>
      </c>
      <c r="C10" s="35" t="s">
        <v>86</v>
      </c>
      <c r="E10" s="13" t="s">
        <v>87</v>
      </c>
      <c r="F10" s="18"/>
      <c r="G10" s="18"/>
      <c r="H10" s="18"/>
      <c r="I10" s="32"/>
      <c r="J10" s="18"/>
      <c r="L10" s="32"/>
    </row>
    <row r="11" spans="1:12">
      <c r="A11" s="9" t="s">
        <v>88</v>
      </c>
      <c r="C11" s="36" t="s">
        <v>89</v>
      </c>
      <c r="E11" s="13" t="s">
        <v>90</v>
      </c>
      <c r="F11" s="32"/>
      <c r="G11" s="18"/>
      <c r="H11" s="22"/>
      <c r="J11" s="22"/>
      <c r="K11" s="18"/>
    </row>
    <row r="12" spans="1:12">
      <c r="A12" s="9" t="s">
        <v>91</v>
      </c>
      <c r="C12" s="37" t="s">
        <v>92</v>
      </c>
      <c r="E12" s="13" t="s">
        <v>93</v>
      </c>
      <c r="G12" s="32"/>
      <c r="H12" s="18"/>
      <c r="I12" s="18"/>
      <c r="J12" s="18"/>
      <c r="K12" s="22"/>
      <c r="L12" s="18"/>
    </row>
    <row r="13" spans="1:12">
      <c r="A13" s="9" t="s">
        <v>94</v>
      </c>
      <c r="C13" s="38" t="s">
        <v>95</v>
      </c>
      <c r="E13" s="13" t="s">
        <v>96</v>
      </c>
      <c r="F13" s="18"/>
      <c r="H13" s="22"/>
      <c r="I13" s="22"/>
      <c r="J13" s="18"/>
      <c r="K13" s="32"/>
      <c r="L13" s="22"/>
    </row>
    <row r="14" spans="1:12">
      <c r="A14" s="9" t="s">
        <v>97</v>
      </c>
      <c r="C14" s="39" t="s">
        <v>98</v>
      </c>
      <c r="E14" s="19" t="s">
        <v>99</v>
      </c>
      <c r="F14" s="22"/>
      <c r="G14" s="18"/>
      <c r="H14" s="18"/>
      <c r="I14" s="32"/>
      <c r="J14" s="32"/>
      <c r="L14" s="32"/>
    </row>
    <row r="15" spans="1:12">
      <c r="A15" s="9" t="s">
        <v>100</v>
      </c>
      <c r="C15" s="40" t="s">
        <v>101</v>
      </c>
      <c r="E15" s="41" t="s">
        <v>102</v>
      </c>
      <c r="F15" s="32"/>
      <c r="G15" s="22"/>
    </row>
    <row r="16" spans="1:12">
      <c r="A16" s="9" t="s">
        <v>103</v>
      </c>
      <c r="C16" s="36" t="s">
        <v>89</v>
      </c>
      <c r="E16" s="13" t="s">
        <v>104</v>
      </c>
      <c r="G16" s="32"/>
      <c r="H16" s="18"/>
      <c r="J16" s="18"/>
    </row>
    <row r="17" spans="1:12">
      <c r="A17" s="9" t="s">
        <v>105</v>
      </c>
      <c r="C17" s="42" t="s">
        <v>106</v>
      </c>
      <c r="E17" s="13" t="s">
        <v>107</v>
      </c>
      <c r="H17" s="18"/>
      <c r="J17" s="22"/>
    </row>
    <row r="18" spans="1:12">
      <c r="A18" s="9" t="s">
        <v>51</v>
      </c>
      <c r="C18" s="43" t="s">
        <v>108</v>
      </c>
      <c r="E18" s="13" t="s">
        <v>109</v>
      </c>
      <c r="H18" s="32"/>
      <c r="J18" s="32"/>
      <c r="K18" s="32"/>
    </row>
    <row r="19" spans="1:12">
      <c r="A19" s="9" t="s">
        <v>110</v>
      </c>
      <c r="C19" s="44" t="s">
        <v>111</v>
      </c>
      <c r="E19" s="13" t="s">
        <v>112</v>
      </c>
      <c r="I19" s="32"/>
      <c r="K19" s="32"/>
      <c r="L19" s="32"/>
    </row>
    <row r="20" spans="1:12">
      <c r="A20" s="9" t="s">
        <v>113</v>
      </c>
      <c r="C20" s="45" t="s">
        <v>114</v>
      </c>
      <c r="E20" s="13" t="s">
        <v>115</v>
      </c>
      <c r="F20" s="32"/>
      <c r="I20" s="32"/>
      <c r="L20" s="32"/>
    </row>
    <row r="21" spans="1:12">
      <c r="A21" s="9" t="s">
        <v>116</v>
      </c>
      <c r="C21" s="46" t="s">
        <v>117</v>
      </c>
      <c r="E21" s="13" t="s">
        <v>118</v>
      </c>
      <c r="F21" s="32"/>
      <c r="G21" s="32"/>
    </row>
    <row r="22" spans="1:12">
      <c r="A22" s="9" t="s">
        <v>119</v>
      </c>
      <c r="E22" s="13" t="s">
        <v>120</v>
      </c>
      <c r="G22" s="32"/>
    </row>
    <row r="23" spans="1:12">
      <c r="A23" s="9" t="s">
        <v>121</v>
      </c>
      <c r="E23" s="13" t="s">
        <v>122</v>
      </c>
      <c r="H23" s="32"/>
      <c r="J23" s="32"/>
      <c r="K23" s="32"/>
    </row>
    <row r="24" spans="1:12">
      <c r="A24" s="9" t="s">
        <v>123</v>
      </c>
      <c r="E24" s="19" t="s">
        <v>124</v>
      </c>
      <c r="H24" s="32"/>
      <c r="I24" s="32"/>
      <c r="J24" s="32"/>
      <c r="K24" s="32"/>
      <c r="L24" s="32"/>
    </row>
    <row r="25" spans="1:12">
      <c r="A25" s="9" t="s">
        <v>125</v>
      </c>
      <c r="C25" s="47"/>
      <c r="E25" s="13" t="s">
        <v>126</v>
      </c>
      <c r="F25" s="32"/>
      <c r="I25" s="32"/>
      <c r="K25" s="32"/>
      <c r="L25" s="32"/>
    </row>
    <row r="26" spans="1:12">
      <c r="A26" s="9" t="s">
        <v>127</v>
      </c>
      <c r="C26" s="1"/>
      <c r="E26" s="13" t="s">
        <v>128</v>
      </c>
      <c r="F26" s="32"/>
      <c r="G26" s="32"/>
      <c r="I26" s="32"/>
      <c r="K26" s="32"/>
      <c r="L26" s="32"/>
    </row>
    <row r="27" spans="1:12">
      <c r="A27" s="9" t="s">
        <v>129</v>
      </c>
      <c r="C27" s="1"/>
      <c r="E27" s="19" t="s">
        <v>130</v>
      </c>
      <c r="F27" s="32"/>
      <c r="G27" s="32"/>
      <c r="I27" s="32"/>
      <c r="K27" s="32"/>
      <c r="L27" s="32"/>
    </row>
    <row r="28" spans="1:12">
      <c r="A28" s="9" t="s">
        <v>131</v>
      </c>
      <c r="C28" s="1"/>
      <c r="E28" s="13" t="s">
        <v>132</v>
      </c>
      <c r="F28" s="32"/>
      <c r="G28" s="32"/>
      <c r="H28" s="32"/>
      <c r="I28" s="32"/>
      <c r="J28" s="32"/>
      <c r="K28" s="32"/>
      <c r="L28" s="32"/>
    </row>
    <row r="29" spans="1:12">
      <c r="A29" s="9" t="s">
        <v>133</v>
      </c>
      <c r="C29" s="1"/>
      <c r="E29" s="19" t="s">
        <v>134</v>
      </c>
      <c r="F29" s="32"/>
      <c r="G29" s="32"/>
      <c r="H29" s="32"/>
      <c r="I29" s="32"/>
      <c r="J29" s="32"/>
      <c r="L29" s="32"/>
    </row>
    <row r="30" spans="1:12">
      <c r="A30" s="9" t="s">
        <v>135</v>
      </c>
      <c r="C30" s="48"/>
      <c r="E30" s="19" t="s">
        <v>136</v>
      </c>
      <c r="F30" s="32"/>
      <c r="G30" s="32"/>
      <c r="H30" s="32"/>
      <c r="J30" s="32"/>
      <c r="K30" s="15"/>
    </row>
    <row r="31" spans="1:12">
      <c r="A31" s="9" t="s">
        <v>137</v>
      </c>
      <c r="C31" s="49"/>
      <c r="E31" s="21" t="s">
        <v>138</v>
      </c>
      <c r="G31" s="32"/>
      <c r="H31" s="32"/>
      <c r="I31" s="18"/>
      <c r="J31" s="32"/>
      <c r="K31" s="22"/>
      <c r="L31" s="15"/>
    </row>
    <row r="32" spans="1:12">
      <c r="A32" s="9" t="s">
        <v>139</v>
      </c>
      <c r="C32" s="8"/>
      <c r="E32" s="50"/>
      <c r="F32" s="22"/>
      <c r="H32" s="32"/>
      <c r="I32" s="22"/>
      <c r="J32" s="32"/>
      <c r="K32" s="18"/>
      <c r="L32" s="22"/>
    </row>
    <row r="33" spans="1:12">
      <c r="A33" s="9" t="s">
        <v>140</v>
      </c>
      <c r="C33" s="51"/>
      <c r="E33" s="32"/>
      <c r="F33" s="18"/>
      <c r="G33" s="22"/>
      <c r="H33" s="32"/>
      <c r="I33" s="18"/>
      <c r="J33" s="32"/>
      <c r="K33" s="18"/>
      <c r="L33" s="18"/>
    </row>
    <row r="34" spans="1:12">
      <c r="A34" s="9" t="s">
        <v>141</v>
      </c>
      <c r="C34" s="8"/>
      <c r="E34" s="50"/>
      <c r="F34" s="18"/>
      <c r="G34" s="18"/>
      <c r="I34" s="18"/>
      <c r="K34" s="52"/>
      <c r="L34" s="18"/>
    </row>
    <row r="35" spans="1:12">
      <c r="A35" s="9" t="s">
        <v>142</v>
      </c>
      <c r="C35" s="53"/>
      <c r="E35" s="50"/>
      <c r="F35" s="52"/>
      <c r="G35" s="18"/>
      <c r="H35" s="18"/>
      <c r="I35" s="52"/>
      <c r="J35" s="18"/>
      <c r="K35" s="18"/>
      <c r="L35" s="52"/>
    </row>
    <row r="36" spans="1:12">
      <c r="A36" s="9" t="s">
        <v>143</v>
      </c>
      <c r="C36" s="8"/>
      <c r="E36" s="50"/>
      <c r="F36" s="18"/>
      <c r="G36" s="52"/>
      <c r="H36" s="18"/>
      <c r="I36" s="18"/>
      <c r="J36" s="18"/>
      <c r="K36" s="18"/>
      <c r="L36" s="18"/>
    </row>
    <row r="37" spans="1:12">
      <c r="A37" s="9" t="s">
        <v>144</v>
      </c>
      <c r="C37" s="8"/>
      <c r="E37" s="50"/>
      <c r="F37" s="18"/>
      <c r="G37" s="18"/>
      <c r="H37" s="22"/>
      <c r="I37" s="18"/>
      <c r="J37" s="52"/>
      <c r="K37" s="18"/>
      <c r="L37" s="18"/>
    </row>
    <row r="38" spans="1:12">
      <c r="A38" s="9" t="s">
        <v>145</v>
      </c>
      <c r="C38" s="51"/>
      <c r="E38" s="32"/>
      <c r="F38" s="18"/>
      <c r="G38" s="18"/>
      <c r="H38" s="52"/>
      <c r="I38" s="18"/>
      <c r="J38" s="18"/>
      <c r="K38" s="18"/>
      <c r="L38" s="18"/>
    </row>
    <row r="39" spans="1:12">
      <c r="A39" s="9" t="s">
        <v>146</v>
      </c>
      <c r="C39" s="51"/>
      <c r="E39" s="32"/>
      <c r="F39" s="18"/>
      <c r="G39" s="18"/>
      <c r="H39" s="18"/>
      <c r="I39" s="18"/>
      <c r="J39" s="18"/>
      <c r="K39" s="22"/>
      <c r="L39" s="18"/>
    </row>
    <row r="40" spans="1:12">
      <c r="A40" s="9" t="s">
        <v>147</v>
      </c>
      <c r="C40" s="1"/>
      <c r="E40" s="50"/>
      <c r="F40" s="22"/>
      <c r="G40" s="18"/>
      <c r="H40" s="18"/>
      <c r="I40" s="22"/>
      <c r="J40" s="18"/>
      <c r="K40" s="18"/>
      <c r="L40" s="22"/>
    </row>
    <row r="41" spans="1:12">
      <c r="A41" s="9" t="s">
        <v>148</v>
      </c>
      <c r="C41" s="54"/>
      <c r="E41" s="50"/>
      <c r="F41" s="18"/>
      <c r="G41" s="22"/>
      <c r="H41" s="18"/>
      <c r="I41" s="18"/>
      <c r="J41" s="18"/>
      <c r="K41" s="18"/>
      <c r="L41" s="18"/>
    </row>
    <row r="42" spans="1:12">
      <c r="A42" s="9" t="s">
        <v>149</v>
      </c>
      <c r="C42" s="54"/>
      <c r="E42" s="50"/>
      <c r="F42" s="18"/>
      <c r="G42" s="18"/>
      <c r="H42" s="18"/>
      <c r="I42" s="18"/>
      <c r="J42" s="22"/>
      <c r="K42" s="22"/>
      <c r="L42" s="18"/>
    </row>
    <row r="43" spans="1:12">
      <c r="A43" s="9" t="s">
        <v>150</v>
      </c>
      <c r="C43" s="54"/>
      <c r="E43" s="32"/>
      <c r="F43" s="22"/>
      <c r="G43" s="18"/>
      <c r="H43" s="22"/>
      <c r="I43" s="22"/>
      <c r="J43" s="18"/>
      <c r="K43" s="18"/>
      <c r="L43" s="22"/>
    </row>
    <row r="44" spans="1:12">
      <c r="A44" s="9" t="s">
        <v>151</v>
      </c>
      <c r="E44" s="32"/>
      <c r="F44" s="18"/>
      <c r="G44" s="22"/>
      <c r="H44" s="18"/>
      <c r="I44" s="18"/>
      <c r="J44" s="18"/>
      <c r="K44" s="22"/>
      <c r="L44" s="18"/>
    </row>
    <row r="45" spans="1:12">
      <c r="A45" s="9" t="s">
        <v>152</v>
      </c>
      <c r="C45" s="1"/>
      <c r="E45" s="32"/>
      <c r="F45" s="22"/>
      <c r="G45" s="18"/>
      <c r="H45" s="18"/>
      <c r="I45" s="22"/>
      <c r="J45" s="22"/>
      <c r="K45" s="32"/>
      <c r="L45" s="22"/>
    </row>
    <row r="46" spans="1:12">
      <c r="A46" s="9" t="s">
        <v>153</v>
      </c>
      <c r="C46" s="51"/>
      <c r="E46" s="32"/>
      <c r="F46" s="32"/>
      <c r="G46" s="22"/>
      <c r="H46" s="22"/>
      <c r="I46" s="32"/>
      <c r="J46" s="18"/>
      <c r="K46" s="32"/>
      <c r="L46" s="32"/>
    </row>
    <row r="47" spans="1:12">
      <c r="A47" s="9" t="s">
        <v>154</v>
      </c>
      <c r="E47" s="32"/>
      <c r="F47" s="32"/>
      <c r="G47" s="32"/>
      <c r="H47" s="18"/>
      <c r="I47" s="32"/>
      <c r="J47" s="22"/>
      <c r="K47" s="32"/>
      <c r="L47" s="32"/>
    </row>
    <row r="48" spans="1:12">
      <c r="A48" s="9" t="s">
        <v>155</v>
      </c>
      <c r="E48" s="32"/>
      <c r="F48" s="32"/>
      <c r="G48" s="32"/>
      <c r="H48" s="32"/>
      <c r="I48" s="32"/>
      <c r="J48" s="32"/>
      <c r="K48" s="32"/>
      <c r="L48" s="32"/>
    </row>
    <row r="49" spans="1:12">
      <c r="A49" s="9" t="s">
        <v>156</v>
      </c>
      <c r="E49" s="50"/>
      <c r="F49" s="32"/>
      <c r="G49" s="32"/>
      <c r="H49" s="32"/>
      <c r="I49" s="32"/>
      <c r="J49" s="32"/>
      <c r="K49" s="32"/>
      <c r="L49" s="32"/>
    </row>
    <row r="50" spans="1:12">
      <c r="A50" s="9" t="s">
        <v>157</v>
      </c>
      <c r="E50" s="32"/>
      <c r="F50" s="32"/>
      <c r="G50" s="32"/>
      <c r="H50" s="32"/>
      <c r="I50" s="32"/>
      <c r="J50" s="32"/>
      <c r="K50" s="32"/>
      <c r="L50" s="32"/>
    </row>
    <row r="51" spans="1:12">
      <c r="A51" s="9" t="s">
        <v>158</v>
      </c>
      <c r="E51" s="32"/>
      <c r="F51" s="32"/>
      <c r="G51" s="32"/>
      <c r="H51" s="32"/>
      <c r="I51" s="32"/>
      <c r="J51" s="32"/>
      <c r="K51" s="32"/>
      <c r="L51" s="32"/>
    </row>
    <row r="52" spans="1:12">
      <c r="A52" s="9" t="s">
        <v>159</v>
      </c>
      <c r="E52" s="32"/>
      <c r="F52" s="32"/>
      <c r="G52" s="32"/>
      <c r="H52" s="32"/>
      <c r="I52" s="32"/>
      <c r="J52" s="32"/>
      <c r="K52" s="32"/>
      <c r="L52" s="32"/>
    </row>
    <row r="53" spans="1:12">
      <c r="A53" s="9" t="s">
        <v>160</v>
      </c>
      <c r="E53" s="32"/>
      <c r="F53" s="32"/>
      <c r="G53" s="32"/>
      <c r="H53" s="32"/>
      <c r="I53" s="32"/>
      <c r="J53" s="32"/>
      <c r="K53" s="32"/>
      <c r="L53" s="32"/>
    </row>
    <row r="54" spans="1:12">
      <c r="A54" s="9" t="s">
        <v>161</v>
      </c>
      <c r="E54" s="32"/>
      <c r="F54" s="32"/>
      <c r="G54" s="32"/>
      <c r="H54" s="32"/>
      <c r="I54" s="32"/>
      <c r="J54" s="32"/>
      <c r="K54" s="32"/>
      <c r="L54" s="32"/>
    </row>
    <row r="55" spans="1:12">
      <c r="A55" s="9" t="s">
        <v>162</v>
      </c>
      <c r="E55" s="32"/>
      <c r="F55" s="32"/>
      <c r="G55" s="32"/>
      <c r="H55" s="32"/>
      <c r="I55" s="32"/>
      <c r="J55" s="32"/>
      <c r="K55" s="32"/>
      <c r="L55" s="32"/>
    </row>
    <row r="56" spans="1:12">
      <c r="A56" s="9" t="s">
        <v>163</v>
      </c>
      <c r="E56" s="32"/>
      <c r="F56" s="32"/>
      <c r="G56" s="32"/>
      <c r="H56" s="32"/>
      <c r="I56" s="32"/>
      <c r="J56" s="32"/>
      <c r="K56" s="32"/>
      <c r="L56" s="32"/>
    </row>
    <row r="57" spans="1:12">
      <c r="A57" s="9" t="s">
        <v>164</v>
      </c>
      <c r="E57" s="32"/>
      <c r="F57" s="32"/>
      <c r="G57" s="32"/>
      <c r="H57" s="32"/>
      <c r="I57" s="32"/>
      <c r="J57" s="32"/>
      <c r="K57" s="32"/>
      <c r="L57" s="32"/>
    </row>
    <row r="58" spans="1:12">
      <c r="A58" s="9" t="s">
        <v>165</v>
      </c>
      <c r="E58" s="32"/>
      <c r="F58" s="32"/>
      <c r="G58" s="32"/>
      <c r="H58" s="32"/>
      <c r="I58" s="32"/>
      <c r="J58" s="32"/>
      <c r="K58" s="32"/>
      <c r="L58" s="32"/>
    </row>
    <row r="59" spans="1:12">
      <c r="A59" s="9" t="s">
        <v>166</v>
      </c>
      <c r="E59" s="32"/>
      <c r="F59" s="32"/>
      <c r="G59" s="32"/>
      <c r="H59" s="32"/>
      <c r="I59" s="32"/>
      <c r="J59" s="32"/>
      <c r="K59" s="32"/>
      <c r="L59" s="32"/>
    </row>
    <row r="60" spans="1:12">
      <c r="A60" s="9" t="s">
        <v>167</v>
      </c>
      <c r="E60" s="32"/>
      <c r="F60" s="32"/>
      <c r="G60" s="32"/>
      <c r="H60" s="32"/>
      <c r="I60" s="32"/>
      <c r="J60" s="32"/>
      <c r="K60" s="32"/>
      <c r="L60" s="32"/>
    </row>
    <row r="61" spans="1:12">
      <c r="A61" s="9" t="s">
        <v>168</v>
      </c>
      <c r="E61" s="32"/>
      <c r="F61" s="32"/>
      <c r="G61" s="32"/>
      <c r="H61" s="32"/>
      <c r="I61" s="32"/>
      <c r="J61" s="32"/>
      <c r="K61" s="32"/>
      <c r="L61" s="32"/>
    </row>
    <row r="62" spans="1:12">
      <c r="A62" s="9" t="s">
        <v>169</v>
      </c>
      <c r="E62" s="32"/>
      <c r="F62" s="32"/>
      <c r="G62" s="32"/>
      <c r="H62" s="32"/>
      <c r="I62" s="32"/>
      <c r="J62" s="32"/>
      <c r="K62" s="32"/>
      <c r="L62" s="32"/>
    </row>
    <row r="63" spans="1:12">
      <c r="A63" s="9" t="s">
        <v>170</v>
      </c>
      <c r="E63" s="32"/>
      <c r="F63" s="32"/>
      <c r="G63" s="32"/>
      <c r="H63" s="32"/>
      <c r="I63" s="32"/>
      <c r="J63" s="32"/>
      <c r="K63" s="32"/>
      <c r="L63" s="32"/>
    </row>
    <row r="64" spans="1:12">
      <c r="A64" s="9" t="s">
        <v>171</v>
      </c>
      <c r="E64" s="32"/>
      <c r="F64" s="32"/>
      <c r="G64" s="32"/>
      <c r="H64" s="32"/>
      <c r="I64" s="32"/>
      <c r="J64" s="32"/>
      <c r="K64" s="32"/>
      <c r="L64" s="32"/>
    </row>
    <row r="65" spans="1:12">
      <c r="A65" s="9" t="s">
        <v>172</v>
      </c>
      <c r="E65" s="32"/>
      <c r="F65" s="32"/>
      <c r="G65" s="32"/>
      <c r="H65" s="32"/>
      <c r="I65" s="32"/>
      <c r="J65" s="32"/>
      <c r="K65" s="32"/>
      <c r="L65" s="32"/>
    </row>
    <row r="66" spans="1:12">
      <c r="A66" s="9" t="s">
        <v>173</v>
      </c>
      <c r="E66" s="32"/>
      <c r="F66" s="32"/>
      <c r="G66" s="32"/>
      <c r="H66" s="32"/>
      <c r="I66" s="32"/>
      <c r="J66" s="32"/>
      <c r="K66" s="32"/>
      <c r="L66" s="32"/>
    </row>
    <row r="67" spans="1:12">
      <c r="A67" s="9" t="s">
        <v>174</v>
      </c>
      <c r="E67" s="32"/>
      <c r="F67" s="32"/>
      <c r="G67" s="32"/>
      <c r="H67" s="32"/>
      <c r="I67" s="32"/>
      <c r="J67" s="32"/>
      <c r="K67" s="32"/>
      <c r="L67" s="32"/>
    </row>
    <row r="68" spans="1:12">
      <c r="A68" s="9" t="s">
        <v>175</v>
      </c>
      <c r="E68" s="32"/>
      <c r="F68" s="32"/>
      <c r="G68" s="32"/>
      <c r="H68" s="32"/>
      <c r="I68" s="32"/>
      <c r="J68" s="32"/>
      <c r="K68" s="32"/>
      <c r="L68" s="32"/>
    </row>
    <row r="69" spans="1:12">
      <c r="A69" s="9" t="s">
        <v>176</v>
      </c>
      <c r="E69" s="32"/>
      <c r="F69" s="32"/>
      <c r="G69" s="32"/>
      <c r="H69" s="32"/>
      <c r="I69" s="32"/>
      <c r="J69" s="32"/>
      <c r="K69" s="32"/>
      <c r="L69" s="32"/>
    </row>
    <row r="70" spans="1:12">
      <c r="A70" s="9" t="s">
        <v>177</v>
      </c>
      <c r="E70" s="32"/>
      <c r="F70" s="32"/>
      <c r="G70" s="32"/>
      <c r="H70" s="32"/>
      <c r="I70" s="32"/>
      <c r="J70" s="32"/>
      <c r="K70" s="32"/>
      <c r="L70" s="32"/>
    </row>
    <row r="71" spans="1:12">
      <c r="A71" s="9" t="s">
        <v>178</v>
      </c>
      <c r="E71" s="32"/>
      <c r="F71" s="32"/>
      <c r="G71" s="32"/>
      <c r="H71" s="32"/>
      <c r="I71" s="32"/>
      <c r="J71" s="32"/>
      <c r="K71" s="32"/>
      <c r="L71" s="32"/>
    </row>
    <row r="72" spans="1:12">
      <c r="A72" s="9" t="s">
        <v>179</v>
      </c>
      <c r="E72" s="32"/>
      <c r="F72" s="32"/>
      <c r="G72" s="32"/>
      <c r="H72" s="32"/>
      <c r="I72" s="32"/>
      <c r="J72" s="32"/>
      <c r="K72" s="32"/>
      <c r="L72" s="32"/>
    </row>
    <row r="73" spans="1:12">
      <c r="A73" s="9" t="s">
        <v>180</v>
      </c>
      <c r="E73" s="32"/>
      <c r="F73" s="32"/>
      <c r="G73" s="32"/>
      <c r="H73" s="32"/>
      <c r="I73" s="32"/>
      <c r="J73" s="32"/>
      <c r="K73" s="32"/>
      <c r="L73" s="32"/>
    </row>
    <row r="74" spans="1:12">
      <c r="A74" s="9" t="s">
        <v>181</v>
      </c>
      <c r="E74" s="32"/>
      <c r="F74" s="32"/>
      <c r="G74" s="32"/>
      <c r="H74" s="32"/>
      <c r="I74" s="32"/>
      <c r="J74" s="32"/>
      <c r="K74" s="32"/>
      <c r="L74" s="32"/>
    </row>
    <row r="75" spans="1:12">
      <c r="A75" s="9" t="s">
        <v>182</v>
      </c>
      <c r="E75" s="32"/>
      <c r="F75" s="32"/>
      <c r="G75" s="32"/>
      <c r="H75" s="32"/>
      <c r="I75" s="32"/>
      <c r="J75" s="32"/>
      <c r="K75" s="32"/>
      <c r="L75" s="32"/>
    </row>
    <row r="76" spans="1:12">
      <c r="A76" s="9" t="s">
        <v>183</v>
      </c>
      <c r="E76" s="32"/>
      <c r="F76" s="32"/>
      <c r="G76" s="32"/>
      <c r="H76" s="32"/>
      <c r="I76" s="32"/>
      <c r="J76" s="32"/>
      <c r="K76" s="32"/>
      <c r="L76" s="32"/>
    </row>
    <row r="77" spans="1:12">
      <c r="A77" s="9" t="s">
        <v>184</v>
      </c>
      <c r="E77" s="32"/>
      <c r="F77" s="32"/>
      <c r="G77" s="32"/>
      <c r="H77" s="32"/>
      <c r="I77" s="32"/>
      <c r="J77" s="32"/>
      <c r="K77" s="50"/>
      <c r="L77" s="32"/>
    </row>
    <row r="78" spans="1:12">
      <c r="A78" s="9" t="s">
        <v>185</v>
      </c>
      <c r="E78" s="32"/>
      <c r="F78" s="50"/>
      <c r="G78" s="32"/>
      <c r="H78" s="32"/>
      <c r="I78" s="50"/>
      <c r="J78" s="32"/>
      <c r="L78" s="50"/>
    </row>
    <row r="79" spans="1:12">
      <c r="A79" s="9" t="s">
        <v>186</v>
      </c>
      <c r="E79" s="32"/>
      <c r="G79" s="50"/>
      <c r="H79" s="32"/>
      <c r="J79" s="32"/>
    </row>
    <row r="80" spans="1:12">
      <c r="A80" s="9" t="s">
        <v>187</v>
      </c>
      <c r="E80" s="32"/>
      <c r="H80" s="32"/>
      <c r="J80" s="50"/>
    </row>
    <row r="81" spans="1:8">
      <c r="A81" s="9" t="s">
        <v>188</v>
      </c>
      <c r="E81" s="32"/>
      <c r="H81" s="50"/>
    </row>
    <row r="82" spans="1:8">
      <c r="A82" s="9" t="s">
        <v>189</v>
      </c>
      <c r="E82" s="32"/>
    </row>
    <row r="83" spans="1:8">
      <c r="A83" s="9" t="s">
        <v>190</v>
      </c>
      <c r="E83" s="50"/>
    </row>
    <row r="84" spans="1:8">
      <c r="A84" s="9" t="s">
        <v>191</v>
      </c>
      <c r="E84" s="50"/>
    </row>
    <row r="85" spans="1:8">
      <c r="A85" s="9" t="s">
        <v>192</v>
      </c>
      <c r="E85" s="50"/>
    </row>
    <row r="86" spans="1:8">
      <c r="A86" s="9" t="s">
        <v>193</v>
      </c>
      <c r="E86" s="50"/>
    </row>
    <row r="87" spans="1:8">
      <c r="A87" s="9" t="s">
        <v>194</v>
      </c>
      <c r="E87" s="50"/>
    </row>
    <row r="88" spans="1:8">
      <c r="A88" s="9" t="s">
        <v>195</v>
      </c>
      <c r="E88" s="50"/>
    </row>
    <row r="89" spans="1:8">
      <c r="A89" s="9" t="s">
        <v>196</v>
      </c>
      <c r="E89" s="50"/>
    </row>
    <row r="90" spans="1:8">
      <c r="A90" s="9" t="s">
        <v>197</v>
      </c>
      <c r="E90" s="50"/>
    </row>
    <row r="91" spans="1:8">
      <c r="A91" s="9" t="s">
        <v>198</v>
      </c>
      <c r="E91" s="50"/>
    </row>
    <row r="92" spans="1:8">
      <c r="A92" s="9" t="s">
        <v>199</v>
      </c>
      <c r="E92" s="50"/>
    </row>
    <row r="93" spans="1:8">
      <c r="A93" s="9" t="s">
        <v>200</v>
      </c>
      <c r="E93" s="50"/>
    </row>
    <row r="94" spans="1:8">
      <c r="A94" s="9" t="s">
        <v>201</v>
      </c>
      <c r="E94" s="50"/>
    </row>
    <row r="95" spans="1:8">
      <c r="A95" s="9" t="s">
        <v>202</v>
      </c>
      <c r="E95" s="50"/>
    </row>
    <row r="96" spans="1:8">
      <c r="A96" s="9" t="s">
        <v>203</v>
      </c>
      <c r="E96" s="50"/>
    </row>
    <row r="97" spans="1:5">
      <c r="A97" s="9" t="s">
        <v>204</v>
      </c>
      <c r="E97" s="50"/>
    </row>
    <row r="98" spans="1:5">
      <c r="A98" s="9" t="s">
        <v>205</v>
      </c>
      <c r="E98" s="50"/>
    </row>
    <row r="99" spans="1:5">
      <c r="A99" s="9" t="s">
        <v>206</v>
      </c>
      <c r="E99" s="50"/>
    </row>
    <row r="100" spans="1:5">
      <c r="A100" s="9" t="s">
        <v>207</v>
      </c>
      <c r="E100" s="50"/>
    </row>
    <row r="101" spans="1:5">
      <c r="A101" s="9" t="s">
        <v>208</v>
      </c>
      <c r="E101" s="50"/>
    </row>
    <row r="102" spans="1:5">
      <c r="A102" s="9" t="s">
        <v>209</v>
      </c>
      <c r="E102" s="50"/>
    </row>
    <row r="103" spans="1:5">
      <c r="A103" s="9" t="s">
        <v>210</v>
      </c>
      <c r="E103" s="50"/>
    </row>
    <row r="104" spans="1:5">
      <c r="A104" s="9" t="s">
        <v>211</v>
      </c>
      <c r="E104" s="50"/>
    </row>
    <row r="105" spans="1:5">
      <c r="A105" s="9" t="s">
        <v>212</v>
      </c>
      <c r="E105" s="50"/>
    </row>
    <row r="106" spans="1:5">
      <c r="A106" s="9" t="s">
        <v>213</v>
      </c>
      <c r="E106" s="50"/>
    </row>
    <row r="107" spans="1:5">
      <c r="A107" s="9" t="s">
        <v>214</v>
      </c>
      <c r="E107" s="50"/>
    </row>
    <row r="108" spans="1:5">
      <c r="A108" s="9" t="s">
        <v>215</v>
      </c>
      <c r="E108" s="50"/>
    </row>
    <row r="109" spans="1:5">
      <c r="A109" s="9" t="s">
        <v>216</v>
      </c>
      <c r="E109" s="50"/>
    </row>
    <row r="110" spans="1:5">
      <c r="A110" s="9" t="s">
        <v>217</v>
      </c>
      <c r="E110" s="50"/>
    </row>
    <row r="111" spans="1:5">
      <c r="A111" s="9" t="s">
        <v>218</v>
      </c>
      <c r="E111" s="50"/>
    </row>
    <row r="112" spans="1:5">
      <c r="A112" s="9" t="s">
        <v>219</v>
      </c>
      <c r="E112" s="50"/>
    </row>
    <row r="113" spans="1:12">
      <c r="A113" s="9" t="s">
        <v>220</v>
      </c>
      <c r="E113" s="50"/>
    </row>
    <row r="114" spans="1:12">
      <c r="A114" s="9" t="s">
        <v>221</v>
      </c>
      <c r="E114" s="50"/>
    </row>
    <row r="115" spans="1:12">
      <c r="A115" s="9" t="s">
        <v>222</v>
      </c>
      <c r="E115" s="50"/>
    </row>
    <row r="116" spans="1:12">
      <c r="A116" s="9" t="s">
        <v>223</v>
      </c>
      <c r="E116" s="50"/>
    </row>
    <row r="117" spans="1:12">
      <c r="A117" s="9" t="s">
        <v>224</v>
      </c>
      <c r="E117" s="50"/>
      <c r="K117" s="55"/>
    </row>
    <row r="118" spans="1:12">
      <c r="A118" s="9" t="s">
        <v>225</v>
      </c>
      <c r="E118" s="50"/>
      <c r="F118" s="55"/>
      <c r="I118" s="55"/>
      <c r="K118" s="55"/>
      <c r="L118" s="55"/>
    </row>
    <row r="119" spans="1:12">
      <c r="A119" s="9" t="s">
        <v>226</v>
      </c>
      <c r="E119" s="50"/>
      <c r="F119" s="55"/>
      <c r="G119" s="55"/>
      <c r="I119" s="55"/>
      <c r="L119" s="55"/>
    </row>
    <row r="120" spans="1:12">
      <c r="A120" s="9" t="s">
        <v>227</v>
      </c>
      <c r="E120" s="50"/>
      <c r="G120" s="55"/>
      <c r="H120" s="55"/>
      <c r="J120" s="55"/>
    </row>
    <row r="121" spans="1:12">
      <c r="A121" s="9" t="s">
        <v>228</v>
      </c>
      <c r="E121" s="50"/>
      <c r="H121" s="55"/>
      <c r="J121" s="55"/>
      <c r="K121" s="55"/>
    </row>
    <row r="122" spans="1:12">
      <c r="A122" s="9" t="s">
        <v>229</v>
      </c>
      <c r="E122" s="32"/>
      <c r="F122" s="55"/>
      <c r="I122" s="55"/>
      <c r="K122" s="55"/>
      <c r="L122" s="55"/>
    </row>
    <row r="123" spans="1:12">
      <c r="A123" s="9" t="s">
        <v>230</v>
      </c>
      <c r="E123" s="32"/>
      <c r="F123" s="55"/>
      <c r="G123" s="55"/>
      <c r="I123" s="55"/>
      <c r="K123" s="56"/>
      <c r="L123" s="55"/>
    </row>
    <row r="124" spans="1:12">
      <c r="A124" s="9" t="s">
        <v>231</v>
      </c>
      <c r="E124" s="50"/>
      <c r="F124" s="57"/>
      <c r="G124" s="55"/>
      <c r="H124" s="55"/>
      <c r="I124" s="57"/>
      <c r="J124" s="55"/>
      <c r="K124" s="57"/>
      <c r="L124" s="56"/>
    </row>
    <row r="125" spans="1:12">
      <c r="A125" s="9" t="s">
        <v>232</v>
      </c>
      <c r="E125" s="50"/>
      <c r="F125" s="57"/>
      <c r="G125" s="57"/>
      <c r="H125" s="55"/>
      <c r="I125" s="57"/>
      <c r="J125" s="55"/>
      <c r="K125" s="57"/>
      <c r="L125" s="57"/>
    </row>
    <row r="126" spans="1:12">
      <c r="A126" s="9" t="s">
        <v>233</v>
      </c>
      <c r="E126" s="32"/>
      <c r="F126" s="55"/>
      <c r="G126" s="57"/>
      <c r="H126" s="57"/>
      <c r="I126" s="55"/>
      <c r="J126" s="57"/>
      <c r="K126" s="55"/>
      <c r="L126" s="57"/>
    </row>
    <row r="127" spans="1:12">
      <c r="A127" s="9" t="s">
        <v>234</v>
      </c>
      <c r="E127" s="32"/>
      <c r="F127" s="55"/>
      <c r="G127" s="55"/>
      <c r="H127" s="57"/>
      <c r="I127" s="55"/>
      <c r="J127" s="57"/>
      <c r="K127" s="55"/>
      <c r="L127" s="55"/>
    </row>
    <row r="128" spans="1:12">
      <c r="A128" s="9" t="s">
        <v>235</v>
      </c>
      <c r="E128" s="32"/>
      <c r="F128" s="55"/>
      <c r="G128" s="55"/>
      <c r="H128" s="55"/>
      <c r="I128" s="55"/>
      <c r="J128" s="55"/>
      <c r="K128" s="55"/>
      <c r="L128" s="55"/>
    </row>
    <row r="129" spans="1:12">
      <c r="A129" s="9" t="s">
        <v>236</v>
      </c>
      <c r="E129" s="32"/>
      <c r="F129" s="55"/>
      <c r="G129" s="55"/>
      <c r="H129" s="55"/>
      <c r="I129" s="55"/>
      <c r="J129" s="55"/>
      <c r="K129" s="55"/>
      <c r="L129" s="55"/>
    </row>
    <row r="130" spans="1:12">
      <c r="A130" s="9" t="s">
        <v>237</v>
      </c>
      <c r="E130" s="32"/>
      <c r="F130" s="55"/>
      <c r="G130" s="55"/>
      <c r="H130" s="55"/>
      <c r="I130" s="55"/>
      <c r="J130" s="55"/>
      <c r="K130" s="55"/>
      <c r="L130" s="55"/>
    </row>
    <row r="131" spans="1:12">
      <c r="A131" s="9" t="s">
        <v>238</v>
      </c>
      <c r="E131" s="32"/>
      <c r="F131" s="55"/>
      <c r="G131" s="55"/>
      <c r="H131" s="55"/>
      <c r="I131" s="55"/>
      <c r="J131" s="55"/>
      <c r="K131" s="55"/>
      <c r="L131" s="55"/>
    </row>
    <row r="132" spans="1:12">
      <c r="A132" s="9" t="s">
        <v>239</v>
      </c>
      <c r="E132" s="32"/>
      <c r="F132" s="55"/>
      <c r="G132" s="55"/>
      <c r="H132" s="55"/>
      <c r="I132" s="55"/>
      <c r="J132" s="55"/>
      <c r="K132" s="55"/>
      <c r="L132" s="55"/>
    </row>
    <row r="133" spans="1:12">
      <c r="A133" s="9" t="s">
        <v>240</v>
      </c>
      <c r="E133" s="32"/>
      <c r="F133" s="55"/>
      <c r="G133" s="55"/>
      <c r="H133" s="55"/>
      <c r="I133" s="55"/>
      <c r="J133" s="55"/>
      <c r="K133" s="55"/>
      <c r="L133" s="55"/>
    </row>
    <row r="134" spans="1:12">
      <c r="A134" s="9" t="s">
        <v>241</v>
      </c>
      <c r="E134" s="32"/>
      <c r="F134" s="55"/>
      <c r="G134" s="55"/>
      <c r="H134" s="55"/>
      <c r="I134" s="55"/>
      <c r="J134" s="55"/>
      <c r="K134" s="55"/>
      <c r="L134" s="55"/>
    </row>
    <row r="135" spans="1:12">
      <c r="A135" s="9" t="s">
        <v>242</v>
      </c>
      <c r="E135" s="32"/>
      <c r="F135" s="55"/>
      <c r="G135" s="55"/>
      <c r="H135" s="55"/>
      <c r="I135" s="55"/>
      <c r="J135" s="55"/>
      <c r="K135" s="55"/>
      <c r="L135" s="55"/>
    </row>
    <row r="136" spans="1:12">
      <c r="A136" s="9" t="s">
        <v>243</v>
      </c>
      <c r="E136" s="32"/>
      <c r="F136" s="55"/>
      <c r="G136" s="55"/>
      <c r="H136" s="55"/>
      <c r="I136" s="55"/>
      <c r="J136" s="55"/>
      <c r="K136" s="55"/>
      <c r="L136" s="55"/>
    </row>
    <row r="137" spans="1:12">
      <c r="A137" s="9" t="s">
        <v>244</v>
      </c>
      <c r="E137" s="32"/>
      <c r="F137" s="55"/>
      <c r="G137" s="55"/>
      <c r="H137" s="55"/>
      <c r="I137" s="55"/>
      <c r="J137" s="55"/>
      <c r="K137" s="55"/>
      <c r="L137" s="55"/>
    </row>
    <row r="138" spans="1:12">
      <c r="A138" s="9" t="s">
        <v>245</v>
      </c>
      <c r="E138" s="32"/>
      <c r="F138" s="55"/>
      <c r="G138" s="55"/>
      <c r="H138" s="55"/>
      <c r="I138" s="55"/>
      <c r="J138" s="55"/>
      <c r="K138" s="55"/>
      <c r="L138" s="55"/>
    </row>
    <row r="139" spans="1:12">
      <c r="A139" s="9" t="s">
        <v>246</v>
      </c>
      <c r="E139" s="32"/>
      <c r="F139" s="55"/>
      <c r="G139" s="55"/>
      <c r="H139" s="55"/>
      <c r="I139" s="55"/>
      <c r="J139" s="55"/>
      <c r="K139" s="55"/>
      <c r="L139" s="55"/>
    </row>
    <row r="140" spans="1:12">
      <c r="A140" s="9" t="s">
        <v>247</v>
      </c>
      <c r="E140" s="32"/>
      <c r="F140" s="55"/>
      <c r="G140" s="55"/>
      <c r="H140" s="55"/>
      <c r="I140" s="55"/>
      <c r="J140" s="55"/>
      <c r="K140" s="55"/>
      <c r="L140" s="55"/>
    </row>
    <row r="141" spans="1:12">
      <c r="A141" s="9" t="s">
        <v>248</v>
      </c>
      <c r="E141" s="32"/>
      <c r="F141" s="55"/>
      <c r="G141" s="55"/>
      <c r="H141" s="55"/>
      <c r="I141" s="55"/>
      <c r="J141" s="55"/>
      <c r="K141" s="55"/>
      <c r="L141" s="55"/>
    </row>
    <row r="142" spans="1:12">
      <c r="A142" s="9" t="s">
        <v>249</v>
      </c>
      <c r="E142" s="32"/>
      <c r="G142" s="55"/>
      <c r="H142" s="55"/>
      <c r="J142" s="55"/>
      <c r="L142" s="55"/>
    </row>
    <row r="143" spans="1:12">
      <c r="A143" s="9" t="s">
        <v>250</v>
      </c>
      <c r="E143" s="32"/>
      <c r="H143" s="55"/>
      <c r="J143" s="55"/>
    </row>
    <row r="144" spans="1:12">
      <c r="A144" s="9" t="s">
        <v>251</v>
      </c>
      <c r="E144" s="50"/>
    </row>
    <row r="145" spans="1:12">
      <c r="A145" s="9" t="s">
        <v>252</v>
      </c>
      <c r="E145" s="50"/>
    </row>
    <row r="146" spans="1:12">
      <c r="A146" s="9" t="s">
        <v>253</v>
      </c>
      <c r="E146" s="50"/>
    </row>
    <row r="147" spans="1:12">
      <c r="A147" s="9" t="s">
        <v>254</v>
      </c>
      <c r="E147" s="50"/>
    </row>
    <row r="148" spans="1:12">
      <c r="A148" s="9" t="s">
        <v>255</v>
      </c>
      <c r="E148" s="50"/>
    </row>
    <row r="149" spans="1:12">
      <c r="A149" s="9" t="s">
        <v>256</v>
      </c>
      <c r="E149" s="50"/>
    </row>
    <row r="150" spans="1:12">
      <c r="A150" s="9" t="s">
        <v>257</v>
      </c>
      <c r="E150" s="50"/>
    </row>
    <row r="151" spans="1:12">
      <c r="A151" s="9" t="s">
        <v>258</v>
      </c>
      <c r="E151" s="50"/>
    </row>
    <row r="152" spans="1:12">
      <c r="A152" s="9" t="s">
        <v>259</v>
      </c>
      <c r="E152" s="50"/>
    </row>
    <row r="153" spans="1:12">
      <c r="A153" s="9" t="s">
        <v>260</v>
      </c>
      <c r="E153" s="50"/>
    </row>
    <row r="154" spans="1:12">
      <c r="A154" s="9" t="s">
        <v>261</v>
      </c>
      <c r="E154" s="50"/>
    </row>
    <row r="155" spans="1:12">
      <c r="A155" s="9" t="s">
        <v>262</v>
      </c>
      <c r="E155" s="50"/>
    </row>
    <row r="156" spans="1:12">
      <c r="A156" s="9" t="s">
        <v>263</v>
      </c>
      <c r="E156" s="50"/>
    </row>
    <row r="157" spans="1:12">
      <c r="A157" s="9" t="s">
        <v>264</v>
      </c>
      <c r="E157" s="50"/>
      <c r="F157" s="55"/>
      <c r="I157" s="55"/>
      <c r="K157" s="55"/>
    </row>
    <row r="158" spans="1:12">
      <c r="A158" s="9" t="s">
        <v>265</v>
      </c>
      <c r="E158" s="50"/>
      <c r="F158" s="55"/>
      <c r="G158" s="55"/>
      <c r="I158" s="55"/>
      <c r="K158" s="55"/>
      <c r="L158" s="55"/>
    </row>
    <row r="159" spans="1:12">
      <c r="A159" s="9" t="s">
        <v>266</v>
      </c>
      <c r="E159" s="32"/>
      <c r="F159" s="55"/>
      <c r="G159" s="55"/>
      <c r="H159" s="55"/>
      <c r="I159" s="55"/>
      <c r="J159" s="55"/>
      <c r="K159" s="55"/>
      <c r="L159" s="55"/>
    </row>
    <row r="160" spans="1:12">
      <c r="A160" s="9" t="s">
        <v>267</v>
      </c>
      <c r="E160" s="32"/>
      <c r="F160" s="55"/>
      <c r="G160" s="55"/>
      <c r="H160" s="55"/>
      <c r="I160" s="55"/>
      <c r="J160" s="55"/>
      <c r="K160" s="55"/>
      <c r="L160" s="55"/>
    </row>
    <row r="161" spans="1:12">
      <c r="A161" s="9" t="s">
        <v>268</v>
      </c>
      <c r="E161" s="32"/>
      <c r="F161" s="55"/>
      <c r="G161" s="55"/>
      <c r="H161" s="55"/>
      <c r="I161" s="55"/>
      <c r="J161" s="55"/>
      <c r="K161" s="55"/>
      <c r="L161" s="55"/>
    </row>
    <row r="162" spans="1:12">
      <c r="A162" s="9" t="s">
        <v>269</v>
      </c>
      <c r="E162" s="32"/>
      <c r="F162" s="55"/>
      <c r="G162" s="55"/>
      <c r="H162" s="55"/>
      <c r="I162" s="55"/>
      <c r="J162" s="55"/>
      <c r="K162" s="55"/>
      <c r="L162" s="55"/>
    </row>
    <row r="163" spans="1:12">
      <c r="A163" s="9" t="s">
        <v>270</v>
      </c>
      <c r="E163" s="32"/>
      <c r="G163" s="55"/>
      <c r="H163" s="55"/>
      <c r="J163" s="55"/>
      <c r="L163" s="55"/>
    </row>
    <row r="164" spans="1:12">
      <c r="A164" s="9" t="s">
        <v>271</v>
      </c>
      <c r="E164" s="32"/>
      <c r="H164" s="55"/>
      <c r="J164" s="55"/>
    </row>
    <row r="165" spans="1:12">
      <c r="A165" s="9" t="s">
        <v>272</v>
      </c>
      <c r="E165" s="50"/>
      <c r="F165" s="58"/>
      <c r="I165" s="58"/>
      <c r="K165" s="59"/>
    </row>
    <row r="166" spans="1:12">
      <c r="A166" s="9" t="s">
        <v>273</v>
      </c>
      <c r="E166" s="50"/>
      <c r="F166" s="57"/>
      <c r="G166" s="57"/>
      <c r="I166" s="57"/>
      <c r="K166" s="57"/>
      <c r="L166" s="59"/>
    </row>
    <row r="167" spans="1:12">
      <c r="A167" s="9" t="s">
        <v>274</v>
      </c>
      <c r="E167" s="50"/>
      <c r="L167" s="57"/>
    </row>
    <row r="168" spans="1:12">
      <c r="A168" s="9" t="s">
        <v>275</v>
      </c>
      <c r="E168" s="50"/>
    </row>
    <row r="169" spans="1:12">
      <c r="A169" s="9" t="s">
        <v>276</v>
      </c>
      <c r="E169" s="50"/>
    </row>
    <row r="170" spans="1:12">
      <c r="A170" s="9" t="s">
        <v>277</v>
      </c>
      <c r="E170" s="50"/>
    </row>
    <row r="171" spans="1:12">
      <c r="A171" s="9" t="s">
        <v>278</v>
      </c>
      <c r="E171" s="50"/>
    </row>
    <row r="172" spans="1:12">
      <c r="A172" s="9" t="s">
        <v>279</v>
      </c>
      <c r="E172" s="50"/>
    </row>
    <row r="173" spans="1:12">
      <c r="A173" s="9" t="s">
        <v>280</v>
      </c>
      <c r="E173" s="50"/>
    </row>
    <row r="174" spans="1:12">
      <c r="A174" s="9" t="s">
        <v>281</v>
      </c>
      <c r="E174" s="50"/>
    </row>
    <row r="175" spans="1:12">
      <c r="A175" s="9" t="s">
        <v>282</v>
      </c>
      <c r="E175" s="50"/>
    </row>
    <row r="176" spans="1:12">
      <c r="A176" s="9" t="s">
        <v>283</v>
      </c>
      <c r="E176" s="50"/>
    </row>
    <row r="177" spans="1:5">
      <c r="A177" s="9" t="s">
        <v>284</v>
      </c>
      <c r="E177" s="50"/>
    </row>
    <row r="178" spans="1:5">
      <c r="A178" s="9" t="s">
        <v>285</v>
      </c>
      <c r="E178" s="50"/>
    </row>
    <row r="179" spans="1:5">
      <c r="A179" s="9" t="s">
        <v>286</v>
      </c>
      <c r="E179" s="50"/>
    </row>
    <row r="180" spans="1:5">
      <c r="A180" s="60" t="s">
        <v>287</v>
      </c>
      <c r="E180" s="50"/>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outlinePr summaryBelow="0" summaryRight="0"/>
  </sheetPr>
  <dimension ref="A1:S137"/>
  <sheetViews>
    <sheetView tabSelected="1" zoomScale="70" zoomScaleNormal="70" workbookViewId="0">
      <selection activeCell="O11" sqref="O11"/>
    </sheetView>
  </sheetViews>
  <sheetFormatPr defaultColWidth="14.453125" defaultRowHeight="15" customHeight="1"/>
  <cols>
    <col min="1" max="1" width="29" customWidth="1"/>
    <col min="5" max="5" width="29.54296875" customWidth="1"/>
  </cols>
  <sheetData>
    <row r="1" spans="1:19" ht="43.5">
      <c r="A1" s="62" t="s">
        <v>2091</v>
      </c>
      <c r="B1" s="63">
        <v>681712835</v>
      </c>
      <c r="C1" s="64"/>
      <c r="D1" s="64"/>
      <c r="E1" s="64"/>
      <c r="F1" s="65"/>
      <c r="G1" s="65"/>
      <c r="H1" s="65"/>
      <c r="I1" s="65"/>
      <c r="J1" s="65"/>
      <c r="K1" s="65"/>
      <c r="L1" s="65"/>
      <c r="M1" s="65"/>
      <c r="N1" s="65"/>
      <c r="O1" s="65"/>
      <c r="P1" s="65"/>
      <c r="Q1" s="65"/>
      <c r="R1" s="65"/>
      <c r="S1" s="65"/>
    </row>
    <row r="2" spans="1:19" ht="14.5">
      <c r="A2" s="1"/>
      <c r="B2" s="1"/>
      <c r="D2" s="66"/>
      <c r="F2" s="67"/>
      <c r="G2" s="67"/>
      <c r="H2" s="67"/>
      <c r="I2" s="67"/>
      <c r="J2" s="67"/>
      <c r="K2" s="67"/>
      <c r="L2" s="67"/>
      <c r="M2" s="67"/>
      <c r="N2" s="67"/>
      <c r="O2" s="67"/>
      <c r="P2" s="67"/>
      <c r="Q2" s="67"/>
      <c r="R2" s="67"/>
      <c r="S2" s="67"/>
    </row>
    <row r="3" spans="1:19" ht="14.5">
      <c r="A3" s="228" t="s">
        <v>853</v>
      </c>
      <c r="B3" s="229"/>
      <c r="C3" s="230"/>
      <c r="D3" s="66"/>
      <c r="E3" s="66"/>
      <c r="F3" s="68"/>
      <c r="G3" s="68"/>
      <c r="H3" s="68"/>
      <c r="I3" s="68"/>
      <c r="J3" s="68"/>
      <c r="K3" s="68"/>
      <c r="L3" s="68"/>
      <c r="M3" s="68"/>
      <c r="N3" s="68"/>
      <c r="O3" s="68"/>
      <c r="P3" s="68"/>
      <c r="Q3" s="68"/>
      <c r="R3" s="68"/>
      <c r="S3" s="68"/>
    </row>
    <row r="4" spans="1:19" ht="58">
      <c r="A4" s="69" t="s">
        <v>854</v>
      </c>
      <c r="B4" s="64" t="s">
        <v>855</v>
      </c>
      <c r="C4" s="70" t="s">
        <v>856</v>
      </c>
      <c r="D4" s="66"/>
      <c r="E4" s="66"/>
      <c r="F4" s="68"/>
      <c r="G4" s="68"/>
      <c r="H4" s="68"/>
      <c r="I4" s="68"/>
      <c r="J4" s="68"/>
      <c r="K4" s="68"/>
      <c r="L4" s="68"/>
      <c r="M4" s="68"/>
      <c r="N4" s="68"/>
      <c r="O4" s="68"/>
      <c r="P4" s="68"/>
      <c r="Q4" s="68"/>
      <c r="R4" s="68"/>
      <c r="S4" s="68"/>
    </row>
    <row r="5" spans="1:19" ht="14.5">
      <c r="A5" s="71" t="s">
        <v>400</v>
      </c>
      <c r="B5" s="61">
        <v>37437807</v>
      </c>
      <c r="C5" s="72" t="str">
        <f>VLOOKUP(A5,'Safeguard facility data'!A$4:D$312,4,0)</f>
        <v>Chevron (NYSE: CVX) / Exxon Mobil Corp (NYSE: XOM) / Shell PLC (LON: SHEL) / Osaka Gas Co Ltd (TYO: 9532) / Tokyo Gas Co Ltd (TYO: 9531) / JERA</v>
      </c>
      <c r="D5" s="66"/>
      <c r="F5" s="67"/>
      <c r="G5" s="67"/>
      <c r="H5" s="67"/>
      <c r="I5" s="67"/>
      <c r="J5" s="67"/>
      <c r="K5" s="67"/>
      <c r="L5" s="67"/>
      <c r="M5" s="67"/>
      <c r="N5" s="67"/>
      <c r="O5" s="67"/>
      <c r="P5" s="67"/>
      <c r="Q5" s="67"/>
      <c r="R5" s="67"/>
      <c r="S5" s="67"/>
    </row>
    <row r="6" spans="1:19" ht="14.5">
      <c r="A6" s="71" t="s">
        <v>481</v>
      </c>
      <c r="B6" s="61">
        <v>36352819</v>
      </c>
      <c r="C6" s="72" t="str">
        <f>VLOOKUP(A6,'Safeguard facility data'!A$4:D$312,4,0)</f>
        <v>Woodside Energy Group Ltd (ASX:WDS)</v>
      </c>
      <c r="D6" s="66"/>
      <c r="F6" s="67"/>
      <c r="G6" s="67"/>
      <c r="H6" s="67"/>
      <c r="I6" s="67"/>
      <c r="J6" s="67"/>
      <c r="K6" s="67"/>
      <c r="L6" s="67"/>
      <c r="M6" s="67"/>
      <c r="N6" s="67"/>
      <c r="O6" s="67"/>
      <c r="P6" s="67"/>
      <c r="Q6" s="67"/>
      <c r="R6" s="67"/>
      <c r="S6" s="67"/>
    </row>
    <row r="7" spans="1:19" ht="14.5">
      <c r="A7" s="71" t="s">
        <v>507</v>
      </c>
      <c r="B7" s="61">
        <v>30960496</v>
      </c>
      <c r="C7" s="72" t="str">
        <f>VLOOKUP(A7,'Safeguard facility data'!A$4:D$312,4,0)</f>
        <v>BlueScope Steel Limited (ASX: BSL)</v>
      </c>
      <c r="D7" s="66"/>
      <c r="F7" s="67"/>
      <c r="G7" s="67"/>
      <c r="H7" s="67"/>
      <c r="I7" s="67"/>
      <c r="J7" s="67"/>
      <c r="K7" s="67"/>
      <c r="L7" s="67"/>
      <c r="M7" s="67"/>
      <c r="N7" s="67"/>
      <c r="O7" s="67"/>
      <c r="P7" s="67"/>
      <c r="Q7" s="67"/>
      <c r="R7" s="67"/>
      <c r="S7" s="67"/>
    </row>
    <row r="8" spans="1:19" ht="14.5">
      <c r="A8" s="265" t="s">
        <v>556</v>
      </c>
      <c r="B8" s="264">
        <v>20591539</v>
      </c>
      <c r="C8" s="265" t="s">
        <v>1917</v>
      </c>
      <c r="D8" s="66"/>
      <c r="F8" s="67"/>
      <c r="G8" s="67"/>
      <c r="H8" s="67"/>
      <c r="I8" s="67"/>
      <c r="J8" s="67"/>
      <c r="K8" s="67"/>
      <c r="L8" s="67"/>
      <c r="M8" s="67"/>
      <c r="N8" s="67"/>
      <c r="O8" s="67"/>
      <c r="P8" s="67"/>
      <c r="Q8" s="67"/>
      <c r="R8" s="67"/>
      <c r="S8" s="67"/>
    </row>
    <row r="9" spans="1:19" ht="14.5">
      <c r="A9" s="71" t="s">
        <v>513</v>
      </c>
      <c r="B9" s="61">
        <v>18788216</v>
      </c>
      <c r="C9" s="72" t="str">
        <f>VLOOKUP(A9,'Safeguard facility data'!A$4:D$312,4,0)</f>
        <v>Qantas Airways Limited (ASX: QAN)</v>
      </c>
      <c r="D9" s="66"/>
      <c r="F9" s="67"/>
      <c r="G9" s="67"/>
      <c r="H9" s="67"/>
      <c r="I9" s="67"/>
      <c r="J9" s="67"/>
      <c r="K9" s="67"/>
      <c r="L9" s="67"/>
      <c r="M9" s="67"/>
      <c r="N9" s="67"/>
      <c r="O9" s="67"/>
      <c r="P9" s="67"/>
      <c r="Q9" s="67"/>
      <c r="R9" s="67"/>
      <c r="S9" s="67"/>
    </row>
    <row r="10" spans="1:19" ht="14.5">
      <c r="A10" s="71" t="s">
        <v>596</v>
      </c>
      <c r="B10" s="61">
        <v>18233453</v>
      </c>
      <c r="C10" s="72" t="str">
        <f>VLOOKUP(A10,'Safeguard facility data'!A$4:D$312,4,0)</f>
        <v>South32 (ASX: S32)</v>
      </c>
      <c r="D10" s="66"/>
      <c r="F10" s="67"/>
      <c r="G10" s="67"/>
      <c r="H10" s="67"/>
      <c r="I10" s="67"/>
      <c r="J10" s="67"/>
      <c r="K10" s="67"/>
      <c r="L10" s="67"/>
      <c r="M10" s="67"/>
      <c r="N10" s="67"/>
      <c r="O10" s="67"/>
      <c r="P10" s="67"/>
      <c r="Q10" s="67"/>
      <c r="R10" s="67"/>
      <c r="S10" s="67"/>
    </row>
    <row r="11" spans="1:19" ht="14.5">
      <c r="A11" s="71" t="s">
        <v>520</v>
      </c>
      <c r="B11" s="61">
        <v>16303886</v>
      </c>
      <c r="C11" s="72" t="str">
        <f>VLOOKUP(A11,'Safeguard facility data'!A$4:D$312,4,0)</f>
        <v>Rio Tinto Group (ASX: RIO)</v>
      </c>
      <c r="D11" s="66"/>
      <c r="F11" s="67"/>
      <c r="G11" s="67"/>
      <c r="H11" s="67"/>
      <c r="I11" s="67"/>
      <c r="J11" s="67"/>
      <c r="K11" s="67"/>
      <c r="L11" s="67"/>
      <c r="M11" s="67"/>
      <c r="N11" s="67"/>
      <c r="O11" s="67"/>
      <c r="P11" s="67"/>
      <c r="Q11" s="67"/>
      <c r="R11" s="67"/>
      <c r="S11" s="67"/>
    </row>
    <row r="12" spans="1:19" ht="14.5">
      <c r="A12" s="71" t="s">
        <v>590</v>
      </c>
      <c r="B12" s="61">
        <v>14855777</v>
      </c>
      <c r="C12" s="72" t="str">
        <f>VLOOKUP(A12,'Safeguard facility data'!A$4:D$312,4,0)</f>
        <v>Chevron Corporation (NYSE: CVX)</v>
      </c>
      <c r="D12" s="66"/>
      <c r="F12" s="67"/>
      <c r="G12" s="67"/>
      <c r="H12" s="67"/>
      <c r="I12" s="67"/>
      <c r="J12" s="67"/>
      <c r="K12" s="67"/>
      <c r="L12" s="67"/>
      <c r="M12" s="67"/>
      <c r="N12" s="67"/>
      <c r="O12" s="67"/>
      <c r="P12" s="67"/>
      <c r="Q12" s="67"/>
      <c r="R12" s="67"/>
      <c r="S12" s="67"/>
    </row>
    <row r="13" spans="1:19" ht="14.5">
      <c r="A13" s="71" t="s">
        <v>333</v>
      </c>
      <c r="B13" s="61">
        <v>13452346</v>
      </c>
      <c r="C13" s="72" t="str">
        <f>VLOOKUP(A13,'Safeguard facility data'!A$4:D$312,4,0)</f>
        <v>Anglo American plc (LON: AAL)</v>
      </c>
      <c r="D13" s="66"/>
      <c r="F13" s="67"/>
      <c r="G13" s="67"/>
      <c r="H13" s="67"/>
      <c r="I13" s="67"/>
      <c r="J13" s="67"/>
      <c r="K13" s="67"/>
      <c r="L13" s="67"/>
      <c r="M13" s="67"/>
      <c r="N13" s="67"/>
      <c r="O13" s="67"/>
      <c r="P13" s="67"/>
      <c r="Q13" s="67"/>
      <c r="R13" s="67"/>
      <c r="S13" s="67"/>
    </row>
    <row r="14" spans="1:19" ht="14.5">
      <c r="A14" s="71" t="s">
        <v>432</v>
      </c>
      <c r="B14" s="61">
        <v>11987808</v>
      </c>
      <c r="C14" s="72" t="str">
        <f>VLOOKUP(A14,'Safeguard facility data'!A$4:D$312,4,0)</f>
        <v>GFG Alliance</v>
      </c>
      <c r="D14" s="66"/>
      <c r="F14" s="67"/>
      <c r="G14" s="67"/>
      <c r="H14" s="67"/>
      <c r="I14" s="67"/>
      <c r="J14" s="67"/>
      <c r="K14" s="67"/>
      <c r="L14" s="67"/>
      <c r="M14" s="67"/>
      <c r="N14" s="67"/>
      <c r="O14" s="67"/>
      <c r="P14" s="67"/>
      <c r="Q14" s="67"/>
      <c r="R14" s="67"/>
      <c r="S14" s="67"/>
    </row>
    <row r="15" spans="1:19" ht="14.5">
      <c r="A15" s="73" t="s">
        <v>857</v>
      </c>
      <c r="B15" s="67">
        <f>SUM(B5:B14)</f>
        <v>218964147</v>
      </c>
      <c r="C15" s="74"/>
      <c r="D15" s="66"/>
      <c r="F15" s="67"/>
      <c r="G15" s="67"/>
      <c r="H15" s="67"/>
      <c r="I15" s="67"/>
      <c r="J15" s="67"/>
      <c r="K15" s="67"/>
      <c r="L15" s="67"/>
      <c r="M15" s="67"/>
      <c r="N15" s="67"/>
      <c r="O15" s="67"/>
      <c r="P15" s="67"/>
      <c r="Q15" s="67"/>
      <c r="R15" s="67"/>
      <c r="S15" s="67"/>
    </row>
    <row r="16" spans="1:19" ht="43.5">
      <c r="A16" s="75" t="s">
        <v>858</v>
      </c>
      <c r="B16" s="76">
        <f>B15/B1</f>
        <v>0.32119704332690169</v>
      </c>
      <c r="C16" s="77"/>
      <c r="D16" s="66"/>
      <c r="F16" s="67"/>
      <c r="G16" s="67"/>
      <c r="H16" s="67"/>
      <c r="I16" s="67"/>
      <c r="J16" s="67"/>
      <c r="K16" s="67"/>
      <c r="L16" s="67"/>
      <c r="M16" s="67"/>
      <c r="N16" s="67"/>
      <c r="O16" s="67"/>
      <c r="P16" s="67"/>
      <c r="Q16" s="67"/>
      <c r="R16" s="67"/>
      <c r="S16" s="67"/>
    </row>
    <row r="17" spans="1:19" ht="15.5" thickTop="1" thickBot="1">
      <c r="A17" s="113"/>
      <c r="B17" s="114"/>
      <c r="C17" s="115"/>
      <c r="D17" s="112"/>
      <c r="F17" s="67"/>
      <c r="G17" s="67"/>
      <c r="H17" s="67"/>
      <c r="I17" s="67"/>
      <c r="J17" s="67"/>
      <c r="K17" s="67"/>
      <c r="L17" s="67"/>
      <c r="M17" s="67"/>
      <c r="N17" s="67"/>
      <c r="O17" s="67"/>
      <c r="P17" s="67"/>
      <c r="Q17" s="67"/>
      <c r="R17" s="67"/>
      <c r="S17" s="67"/>
    </row>
    <row r="18" spans="1:19" ht="43.5" customHeight="1">
      <c r="A18" s="226" t="s">
        <v>2062</v>
      </c>
      <c r="B18" s="227"/>
      <c r="C18" s="115"/>
      <c r="D18" s="112"/>
      <c r="F18" s="67"/>
      <c r="G18" s="67"/>
      <c r="H18" s="67"/>
      <c r="I18" s="67"/>
      <c r="J18" s="67"/>
      <c r="K18" s="67"/>
      <c r="L18" s="67"/>
      <c r="M18" s="67"/>
      <c r="N18" s="67"/>
      <c r="O18" s="67"/>
      <c r="P18" s="67"/>
      <c r="Q18" s="67"/>
      <c r="R18" s="67"/>
      <c r="S18" s="67"/>
    </row>
    <row r="19" spans="1:19" ht="58">
      <c r="A19" s="116" t="s">
        <v>859</v>
      </c>
      <c r="B19" s="117" t="s">
        <v>855</v>
      </c>
      <c r="C19" s="115"/>
      <c r="D19" s="112"/>
      <c r="F19" s="67"/>
      <c r="G19" s="67"/>
      <c r="H19" s="67"/>
      <c r="I19" s="67"/>
      <c r="J19" s="67"/>
      <c r="K19" s="67"/>
      <c r="L19" s="67"/>
      <c r="M19" s="67"/>
      <c r="N19" s="67"/>
      <c r="O19" s="67"/>
      <c r="P19" s="67"/>
      <c r="Q19" s="67"/>
      <c r="R19" s="67"/>
      <c r="S19" s="67"/>
    </row>
    <row r="20" spans="1:19" ht="14.5">
      <c r="A20" s="118" t="s">
        <v>863</v>
      </c>
      <c r="B20" s="119">
        <v>53033921</v>
      </c>
      <c r="C20" s="115"/>
      <c r="D20" s="112"/>
      <c r="F20" s="67"/>
      <c r="G20" s="67"/>
      <c r="H20" s="67"/>
      <c r="I20" s="67"/>
      <c r="J20" s="67"/>
      <c r="K20" s="67"/>
      <c r="L20" s="67"/>
      <c r="M20" s="67"/>
      <c r="N20" s="67"/>
      <c r="O20" s="67"/>
      <c r="P20" s="67"/>
      <c r="Q20" s="67"/>
      <c r="R20" s="67"/>
      <c r="S20" s="67"/>
    </row>
    <row r="21" spans="1:19" ht="14.5">
      <c r="A21" s="118" t="s">
        <v>866</v>
      </c>
      <c r="B21" s="119">
        <v>52812109</v>
      </c>
      <c r="C21" s="115"/>
      <c r="D21" s="112"/>
      <c r="F21" s="67"/>
      <c r="G21" s="67"/>
      <c r="H21" s="67"/>
      <c r="I21" s="67"/>
      <c r="J21" s="67"/>
      <c r="K21" s="67"/>
      <c r="L21" s="67"/>
      <c r="M21" s="67"/>
      <c r="N21" s="67"/>
      <c r="O21" s="67"/>
      <c r="P21" s="67"/>
      <c r="Q21" s="67"/>
      <c r="R21" s="67"/>
      <c r="S21" s="67"/>
    </row>
    <row r="22" spans="1:19" ht="14.5">
      <c r="A22" s="118" t="s">
        <v>869</v>
      </c>
      <c r="B22" s="119">
        <v>49078051</v>
      </c>
      <c r="C22" s="115"/>
      <c r="D22" s="112"/>
      <c r="F22" s="67"/>
      <c r="G22" s="67"/>
      <c r="H22" s="67"/>
      <c r="I22" s="67"/>
      <c r="J22" s="67"/>
      <c r="K22" s="67"/>
      <c r="L22" s="67"/>
      <c r="M22" s="67"/>
      <c r="N22" s="67"/>
      <c r="O22" s="67"/>
      <c r="P22" s="67"/>
      <c r="Q22" s="67"/>
      <c r="R22" s="67"/>
      <c r="S22" s="67"/>
    </row>
    <row r="23" spans="1:19" ht="14.5">
      <c r="A23" s="118" t="s">
        <v>872</v>
      </c>
      <c r="B23" s="119">
        <v>33743643</v>
      </c>
      <c r="C23" s="115"/>
      <c r="D23" s="112"/>
      <c r="F23" s="67"/>
      <c r="G23" s="67"/>
      <c r="H23" s="67"/>
      <c r="I23" s="67"/>
      <c r="J23" s="67"/>
      <c r="K23" s="67"/>
      <c r="L23" s="67"/>
      <c r="M23" s="67"/>
      <c r="N23" s="67"/>
      <c r="O23" s="67"/>
      <c r="P23" s="67"/>
      <c r="Q23" s="67"/>
      <c r="R23" s="67"/>
      <c r="S23" s="67"/>
    </row>
    <row r="24" spans="1:19" ht="14.5">
      <c r="A24" s="118" t="s">
        <v>875</v>
      </c>
      <c r="B24" s="119">
        <v>31785694</v>
      </c>
      <c r="C24" s="115"/>
      <c r="D24" s="112"/>
      <c r="F24" s="67"/>
      <c r="G24" s="67"/>
      <c r="H24" s="67"/>
      <c r="I24" s="67"/>
      <c r="J24" s="67"/>
      <c r="K24" s="67"/>
      <c r="L24" s="67"/>
      <c r="M24" s="67"/>
      <c r="N24" s="67"/>
      <c r="O24" s="67"/>
      <c r="P24" s="67"/>
      <c r="Q24" s="67"/>
      <c r="R24" s="67"/>
      <c r="S24" s="67"/>
    </row>
    <row r="25" spans="1:19" ht="14.5">
      <c r="A25" s="118" t="s">
        <v>878</v>
      </c>
      <c r="B25" s="119">
        <v>31491296</v>
      </c>
      <c r="D25" s="66"/>
      <c r="F25" s="67"/>
      <c r="G25" s="67"/>
      <c r="H25" s="67"/>
      <c r="I25" s="67"/>
      <c r="J25" s="67"/>
      <c r="K25" s="67"/>
      <c r="L25" s="67"/>
      <c r="M25" s="67"/>
      <c r="N25" s="67"/>
      <c r="O25" s="67"/>
      <c r="P25" s="67"/>
      <c r="Q25" s="67"/>
      <c r="R25" s="67"/>
      <c r="S25" s="67"/>
    </row>
    <row r="26" spans="1:19" ht="14.5">
      <c r="A26" s="118" t="s">
        <v>881</v>
      </c>
      <c r="B26" s="119">
        <v>31469295</v>
      </c>
      <c r="D26" s="66"/>
      <c r="F26" s="67"/>
      <c r="G26" s="67"/>
      <c r="H26" s="67"/>
      <c r="I26" s="67"/>
      <c r="J26" s="67"/>
      <c r="K26" s="67"/>
      <c r="L26" s="67"/>
      <c r="M26" s="67"/>
      <c r="N26" s="67"/>
      <c r="O26" s="67"/>
      <c r="P26" s="67"/>
      <c r="Q26" s="67"/>
      <c r="R26" s="67"/>
      <c r="S26" s="67"/>
    </row>
    <row r="27" spans="1:19" ht="14.5">
      <c r="A27" s="118" t="s">
        <v>884</v>
      </c>
      <c r="B27" s="119">
        <v>30931390</v>
      </c>
      <c r="D27" s="66"/>
      <c r="F27" s="67"/>
      <c r="G27" s="67"/>
      <c r="H27" s="67"/>
      <c r="I27" s="67"/>
      <c r="J27" s="67"/>
      <c r="K27" s="67"/>
      <c r="L27" s="67"/>
      <c r="M27" s="67"/>
      <c r="N27" s="67"/>
      <c r="O27" s="67"/>
      <c r="P27" s="67"/>
      <c r="Q27" s="67"/>
      <c r="R27" s="67"/>
      <c r="S27" s="67"/>
    </row>
    <row r="28" spans="1:19" ht="14.5">
      <c r="A28" s="118" t="s">
        <v>887</v>
      </c>
      <c r="B28" s="119">
        <v>26463832</v>
      </c>
      <c r="D28" s="112"/>
      <c r="F28" s="67"/>
      <c r="G28" s="67"/>
      <c r="H28" s="67"/>
      <c r="I28" s="67"/>
      <c r="J28" s="67"/>
      <c r="K28" s="67"/>
      <c r="L28" s="67"/>
      <c r="M28" s="67"/>
      <c r="N28" s="67"/>
      <c r="O28" s="67"/>
      <c r="P28" s="67"/>
      <c r="Q28" s="67"/>
      <c r="R28" s="67"/>
      <c r="S28" s="67"/>
    </row>
    <row r="29" spans="1:19" thickBot="1">
      <c r="A29" s="120" t="s">
        <v>890</v>
      </c>
      <c r="B29" s="216">
        <v>21236646</v>
      </c>
      <c r="D29" s="66"/>
      <c r="F29" s="67"/>
      <c r="G29" s="67"/>
      <c r="H29" s="67"/>
      <c r="I29" s="67"/>
      <c r="J29" s="67"/>
      <c r="K29" s="67"/>
      <c r="L29" s="67"/>
      <c r="M29" s="67"/>
      <c r="N29" s="67"/>
      <c r="O29" s="67"/>
      <c r="P29" s="67"/>
      <c r="Q29" s="67"/>
      <c r="R29" s="67"/>
      <c r="S29" s="67"/>
    </row>
    <row r="30" spans="1:19" thickBot="1">
      <c r="A30" s="1"/>
      <c r="B30" s="1"/>
      <c r="D30" s="66"/>
      <c r="F30" s="67"/>
      <c r="G30" s="67"/>
      <c r="H30" s="67"/>
      <c r="I30" s="67"/>
      <c r="J30" s="67"/>
      <c r="K30" s="67"/>
      <c r="L30" s="67"/>
      <c r="M30" s="67"/>
      <c r="N30" s="67"/>
      <c r="O30" s="67"/>
      <c r="P30" s="67"/>
      <c r="Q30" s="67"/>
      <c r="R30" s="67"/>
      <c r="S30" s="67"/>
    </row>
    <row r="31" spans="1:19" ht="14.5">
      <c r="A31" s="231" t="s">
        <v>2061</v>
      </c>
      <c r="B31" s="229"/>
      <c r="C31" s="229"/>
      <c r="D31" s="229"/>
      <c r="E31" s="229"/>
      <c r="F31" s="230"/>
      <c r="G31" s="78"/>
      <c r="H31" s="78"/>
      <c r="I31" s="78"/>
      <c r="J31" s="78"/>
      <c r="K31" s="78"/>
      <c r="L31" s="78"/>
      <c r="M31" s="78"/>
      <c r="N31" s="78"/>
      <c r="O31" s="78"/>
      <c r="P31" s="78"/>
      <c r="Q31" s="78"/>
      <c r="R31" s="78"/>
      <c r="S31" s="78"/>
    </row>
    <row r="32" spans="1:19" ht="58">
      <c r="A32" s="69" t="s">
        <v>859</v>
      </c>
      <c r="B32" s="64" t="s">
        <v>855</v>
      </c>
      <c r="C32" s="64" t="s">
        <v>860</v>
      </c>
      <c r="D32" s="64" t="s">
        <v>861</v>
      </c>
      <c r="E32" s="64" t="s">
        <v>862</v>
      </c>
      <c r="F32" s="79" t="s">
        <v>855</v>
      </c>
      <c r="G32" s="65"/>
      <c r="H32" s="65"/>
      <c r="I32" s="65"/>
      <c r="J32" s="65"/>
      <c r="K32" s="65"/>
      <c r="L32" s="65"/>
      <c r="M32" s="65"/>
      <c r="N32" s="65"/>
      <c r="O32" s="65"/>
      <c r="P32" s="65"/>
      <c r="Q32" s="65"/>
      <c r="R32" s="65"/>
      <c r="S32" s="65"/>
    </row>
    <row r="33" spans="1:19" ht="14.5">
      <c r="A33" s="220" t="s">
        <v>863</v>
      </c>
      <c r="B33" s="222">
        <f>SUM(F33:F52)</f>
        <v>53033921</v>
      </c>
      <c r="C33" s="224" t="s">
        <v>864</v>
      </c>
      <c r="D33" s="225" t="s">
        <v>865</v>
      </c>
      <c r="E33" s="1" t="s">
        <v>316</v>
      </c>
      <c r="F33" s="80">
        <f>VLOOKUP(E33,'Safeguard facility data'!A$4:BN$312,66,0)</f>
        <v>1800883</v>
      </c>
      <c r="G33" s="61"/>
      <c r="H33" s="61"/>
      <c r="I33" s="61"/>
      <c r="J33" s="61"/>
      <c r="K33" s="61"/>
      <c r="L33" s="61"/>
      <c r="M33" s="61"/>
      <c r="N33" s="61"/>
      <c r="O33" s="61"/>
      <c r="P33" s="61"/>
      <c r="Q33" s="61"/>
      <c r="R33" s="61"/>
      <c r="S33" s="61"/>
    </row>
    <row r="34" spans="1:19" ht="14.5">
      <c r="A34" s="221"/>
      <c r="B34" s="223"/>
      <c r="C34" s="223"/>
      <c r="D34" s="223"/>
      <c r="E34" s="1" t="s">
        <v>324</v>
      </c>
      <c r="F34" s="80">
        <f>VLOOKUP(E34,'Safeguard facility data'!A$4:BN$312,66,0)</f>
        <v>4687209</v>
      </c>
      <c r="G34" s="61"/>
      <c r="H34" s="61"/>
      <c r="I34" s="61"/>
      <c r="J34" s="61"/>
      <c r="K34" s="61"/>
      <c r="L34" s="61"/>
      <c r="M34" s="61"/>
      <c r="N34" s="61"/>
      <c r="O34" s="61"/>
      <c r="P34" s="61"/>
      <c r="Q34" s="61"/>
      <c r="R34" s="61"/>
      <c r="S34" s="61"/>
    </row>
    <row r="35" spans="1:19" ht="14.5">
      <c r="A35" s="221"/>
      <c r="B35" s="223"/>
      <c r="C35" s="223"/>
      <c r="D35" s="223"/>
      <c r="E35" s="1" t="s">
        <v>325</v>
      </c>
      <c r="F35" s="80">
        <f>VLOOKUP(E35,'Safeguard facility data'!A$4:BN$312,66,0)</f>
        <v>1343623</v>
      </c>
      <c r="G35" s="61"/>
      <c r="H35" s="61"/>
      <c r="I35" s="61"/>
      <c r="J35" s="61"/>
      <c r="K35" s="61"/>
      <c r="L35" s="61"/>
      <c r="M35" s="61"/>
      <c r="N35" s="61"/>
      <c r="O35" s="61"/>
      <c r="P35" s="61"/>
      <c r="Q35" s="61"/>
      <c r="R35" s="61"/>
      <c r="S35" s="61"/>
    </row>
    <row r="36" spans="1:19" ht="14.5">
      <c r="A36" s="221"/>
      <c r="B36" s="223"/>
      <c r="C36" s="223"/>
      <c r="D36" s="223"/>
      <c r="E36" s="1" t="s">
        <v>326</v>
      </c>
      <c r="F36" s="80">
        <f>VLOOKUP(E36,'Safeguard facility data'!A$4:BN$312,66,0)</f>
        <v>721274</v>
      </c>
      <c r="G36" s="61"/>
      <c r="H36" s="61"/>
      <c r="I36" s="61"/>
      <c r="J36" s="61"/>
      <c r="K36" s="61"/>
      <c r="L36" s="61"/>
      <c r="M36" s="61"/>
      <c r="N36" s="61"/>
      <c r="O36" s="61"/>
      <c r="P36" s="61"/>
      <c r="Q36" s="61"/>
      <c r="R36" s="61"/>
      <c r="S36" s="61"/>
    </row>
    <row r="37" spans="1:19" ht="14.5">
      <c r="A37" s="221"/>
      <c r="B37" s="223"/>
      <c r="C37" s="223"/>
      <c r="D37" s="223"/>
      <c r="E37" s="1" t="s">
        <v>402</v>
      </c>
      <c r="F37" s="80">
        <f>VLOOKUP(E37,'Safeguard facility data'!A$4:BN$312,66,0)</f>
        <v>608483</v>
      </c>
      <c r="G37" s="61"/>
      <c r="H37" s="61"/>
      <c r="I37" s="61"/>
      <c r="J37" s="61"/>
      <c r="K37" s="61"/>
      <c r="L37" s="61"/>
      <c r="M37" s="61"/>
      <c r="N37" s="61"/>
      <c r="O37" s="61"/>
      <c r="P37" s="61"/>
      <c r="Q37" s="61"/>
      <c r="R37" s="61"/>
      <c r="S37" s="61"/>
    </row>
    <row r="38" spans="1:19" ht="14.5">
      <c r="A38" s="221"/>
      <c r="B38" s="223"/>
      <c r="C38" s="223"/>
      <c r="D38" s="223"/>
      <c r="E38" s="1" t="s">
        <v>439</v>
      </c>
      <c r="F38" s="80">
        <f>VLOOKUP(E38,'Safeguard facility data'!A$4:BN$312,66,0)</f>
        <v>729895</v>
      </c>
      <c r="G38" s="61"/>
      <c r="H38" s="61"/>
      <c r="I38" s="61"/>
      <c r="J38" s="61"/>
      <c r="K38" s="61"/>
      <c r="L38" s="61"/>
      <c r="M38" s="61"/>
      <c r="N38" s="61"/>
      <c r="O38" s="61"/>
      <c r="P38" s="61"/>
      <c r="Q38" s="61"/>
      <c r="R38" s="61"/>
      <c r="S38" s="61"/>
    </row>
    <row r="39" spans="1:19" ht="14.5">
      <c r="A39" s="221"/>
      <c r="B39" s="223"/>
      <c r="C39" s="223"/>
      <c r="D39" s="223"/>
      <c r="E39" s="1" t="s">
        <v>496</v>
      </c>
      <c r="F39" s="80">
        <f>VLOOKUP(E39,'Safeguard facility data'!A$4:BN$312,66,0)</f>
        <v>575086</v>
      </c>
      <c r="G39" s="61"/>
      <c r="H39" s="61"/>
      <c r="I39" s="61"/>
      <c r="J39" s="61"/>
      <c r="K39" s="61"/>
      <c r="L39" s="61"/>
      <c r="M39" s="61"/>
      <c r="N39" s="61"/>
      <c r="O39" s="61"/>
      <c r="P39" s="61"/>
      <c r="Q39" s="61"/>
      <c r="R39" s="61"/>
      <c r="S39" s="61"/>
    </row>
    <row r="40" spans="1:19" ht="14.5">
      <c r="A40" s="221"/>
      <c r="B40" s="223"/>
      <c r="C40" s="223"/>
      <c r="D40" s="223"/>
      <c r="E40" s="1" t="s">
        <v>501</v>
      </c>
      <c r="F40" s="80">
        <f>VLOOKUP(E40,'Safeguard facility data'!A$4:BN$312,66,0)</f>
        <v>3241161</v>
      </c>
      <c r="G40" s="61"/>
      <c r="H40" s="61"/>
      <c r="I40" s="61"/>
      <c r="J40" s="61"/>
      <c r="K40" s="61"/>
      <c r="L40" s="61"/>
      <c r="M40" s="61"/>
      <c r="N40" s="61"/>
      <c r="O40" s="61"/>
      <c r="P40" s="61"/>
      <c r="Q40" s="61"/>
      <c r="R40" s="61"/>
      <c r="S40" s="61"/>
    </row>
    <row r="41" spans="1:19" ht="14.5">
      <c r="A41" s="221"/>
      <c r="B41" s="223"/>
      <c r="C41" s="223"/>
      <c r="D41" s="223"/>
      <c r="E41" s="1" t="s">
        <v>520</v>
      </c>
      <c r="F41" s="80">
        <f>VLOOKUP(E41,'Safeguard facility data'!A$4:BN$312,66,0)</f>
        <v>16303886</v>
      </c>
      <c r="G41" s="61"/>
      <c r="H41" s="61"/>
      <c r="I41" s="61"/>
      <c r="J41" s="61"/>
      <c r="K41" s="61"/>
      <c r="L41" s="61"/>
      <c r="M41" s="61"/>
      <c r="N41" s="61"/>
      <c r="O41" s="61"/>
      <c r="P41" s="61"/>
      <c r="Q41" s="61"/>
      <c r="R41" s="61"/>
      <c r="S41" s="61"/>
    </row>
    <row r="42" spans="1:19" ht="14.5">
      <c r="A42" s="221"/>
      <c r="B42" s="223"/>
      <c r="C42" s="223"/>
      <c r="D42" s="223"/>
      <c r="E42" s="1" t="s">
        <v>524</v>
      </c>
      <c r="F42" s="80">
        <f>VLOOKUP(E42,'Safeguard facility data'!A$4:BN$312,66,0)</f>
        <v>639302</v>
      </c>
      <c r="G42" s="61"/>
      <c r="H42" s="61"/>
      <c r="I42" s="61"/>
      <c r="J42" s="61"/>
      <c r="K42" s="61"/>
      <c r="L42" s="61"/>
      <c r="M42" s="61"/>
      <c r="N42" s="61"/>
      <c r="O42" s="61"/>
      <c r="P42" s="61"/>
      <c r="Q42" s="61"/>
      <c r="R42" s="61"/>
      <c r="S42" s="61"/>
    </row>
    <row r="43" spans="1:19" ht="14.5">
      <c r="A43" s="221"/>
      <c r="B43" s="223"/>
      <c r="C43" s="223"/>
      <c r="D43" s="223"/>
      <c r="E43" s="1" t="s">
        <v>531</v>
      </c>
      <c r="F43" s="80">
        <f>VLOOKUP(E43,'Safeguard facility data'!A$4:BN$312,66,0)</f>
        <v>572075</v>
      </c>
      <c r="G43" s="61"/>
      <c r="H43" s="61"/>
      <c r="I43" s="61"/>
      <c r="J43" s="61"/>
      <c r="K43" s="61"/>
      <c r="L43" s="61"/>
      <c r="M43" s="61"/>
      <c r="N43" s="61"/>
      <c r="O43" s="61"/>
      <c r="P43" s="61"/>
      <c r="Q43" s="61"/>
      <c r="R43" s="61"/>
      <c r="S43" s="61"/>
    </row>
    <row r="44" spans="1:19" ht="14.5">
      <c r="A44" s="221"/>
      <c r="B44" s="223"/>
      <c r="C44" s="223"/>
      <c r="D44" s="223"/>
      <c r="E44" s="1" t="s">
        <v>532</v>
      </c>
      <c r="F44" s="80">
        <f>VLOOKUP(E44,'Safeguard facility data'!A$4:BN$312,66,0)</f>
        <v>1184094</v>
      </c>
      <c r="G44" s="61"/>
      <c r="H44" s="61"/>
      <c r="I44" s="61"/>
      <c r="J44" s="61"/>
      <c r="K44" s="61"/>
      <c r="L44" s="61"/>
      <c r="M44" s="61"/>
      <c r="N44" s="61"/>
      <c r="O44" s="61"/>
      <c r="P44" s="61"/>
      <c r="Q44" s="61"/>
      <c r="R44" s="61"/>
      <c r="S44" s="61"/>
    </row>
    <row r="45" spans="1:19" ht="14.5">
      <c r="A45" s="221"/>
      <c r="B45" s="223"/>
      <c r="C45" s="223"/>
      <c r="D45" s="223"/>
      <c r="E45" s="1" t="s">
        <v>533</v>
      </c>
      <c r="F45" s="80">
        <f>VLOOKUP(E45,'Safeguard facility data'!A$4:BN$312,66,0)</f>
        <v>10812298</v>
      </c>
      <c r="G45" s="61"/>
      <c r="H45" s="61"/>
      <c r="I45" s="61"/>
      <c r="J45" s="61"/>
      <c r="K45" s="61"/>
      <c r="L45" s="61"/>
      <c r="M45" s="61"/>
      <c r="N45" s="61"/>
      <c r="O45" s="61"/>
      <c r="P45" s="61"/>
      <c r="Q45" s="61"/>
      <c r="R45" s="61"/>
      <c r="S45" s="61"/>
    </row>
    <row r="46" spans="1:19" ht="14.5">
      <c r="A46" s="221"/>
      <c r="B46" s="223"/>
      <c r="C46" s="223"/>
      <c r="D46" s="223"/>
      <c r="E46" s="1" t="s">
        <v>568</v>
      </c>
      <c r="F46" s="80">
        <f>VLOOKUP(E46,'Safeguard facility data'!A$4:BN$312,66,0)</f>
        <v>881811</v>
      </c>
      <c r="G46" s="61"/>
      <c r="H46" s="61"/>
      <c r="I46" s="61"/>
      <c r="J46" s="61"/>
      <c r="K46" s="61"/>
      <c r="L46" s="61"/>
      <c r="M46" s="61"/>
      <c r="N46" s="61"/>
      <c r="O46" s="61"/>
      <c r="P46" s="61"/>
      <c r="Q46" s="61"/>
      <c r="R46" s="61"/>
      <c r="S46" s="61"/>
    </row>
    <row r="47" spans="1:19" ht="14.5">
      <c r="A47" s="221"/>
      <c r="B47" s="223"/>
      <c r="C47" s="223"/>
      <c r="D47" s="223"/>
      <c r="E47" s="1" t="s">
        <v>598</v>
      </c>
      <c r="F47" s="80">
        <f>VLOOKUP(E47,'Safeguard facility data'!A$4:BN$312,66,0)</f>
        <v>740447</v>
      </c>
      <c r="G47" s="61"/>
      <c r="H47" s="61"/>
      <c r="I47" s="61"/>
      <c r="J47" s="61"/>
      <c r="K47" s="61"/>
      <c r="L47" s="61"/>
      <c r="M47" s="61"/>
      <c r="N47" s="61"/>
      <c r="O47" s="61"/>
      <c r="P47" s="61"/>
      <c r="Q47" s="61"/>
      <c r="R47" s="61"/>
      <c r="S47" s="61"/>
    </row>
    <row r="48" spans="1:19" ht="14.5">
      <c r="A48" s="221"/>
      <c r="B48" s="223"/>
      <c r="C48" s="223"/>
      <c r="D48" s="223"/>
      <c r="E48" s="1" t="s">
        <v>569</v>
      </c>
      <c r="F48" s="80">
        <f>VLOOKUP(E48,'Safeguard facility data'!A$4:BN$312,66,0)</f>
        <v>5846729</v>
      </c>
      <c r="G48" s="61"/>
      <c r="H48" s="61"/>
      <c r="I48" s="61"/>
      <c r="J48" s="61"/>
      <c r="K48" s="61"/>
      <c r="L48" s="61"/>
      <c r="M48" s="61"/>
      <c r="N48" s="61"/>
      <c r="O48" s="61"/>
      <c r="P48" s="61"/>
      <c r="Q48" s="61"/>
      <c r="R48" s="61"/>
      <c r="S48" s="61"/>
    </row>
    <row r="49" spans="1:19" ht="14.5">
      <c r="A49" s="221"/>
      <c r="B49" s="223"/>
      <c r="C49" s="223"/>
      <c r="D49" s="223"/>
      <c r="E49" s="1" t="s">
        <v>409</v>
      </c>
      <c r="F49" s="80">
        <f>VLOOKUP(E49,'Safeguard facility data'!A$4:BN$312,66,0)</f>
        <v>751529</v>
      </c>
      <c r="G49" s="61"/>
      <c r="H49" s="61"/>
      <c r="I49" s="61"/>
      <c r="J49" s="61"/>
      <c r="K49" s="61"/>
      <c r="L49" s="61"/>
      <c r="M49" s="61"/>
      <c r="N49" s="61"/>
      <c r="O49" s="61"/>
      <c r="P49" s="61"/>
      <c r="Q49" s="61"/>
      <c r="R49" s="61"/>
      <c r="S49" s="61"/>
    </row>
    <row r="50" spans="1:19" ht="14.5">
      <c r="A50" s="221"/>
      <c r="B50" s="223"/>
      <c r="C50" s="223"/>
      <c r="D50" s="223"/>
      <c r="E50" s="1" t="s">
        <v>410</v>
      </c>
      <c r="F50" s="80">
        <f>VLOOKUP(E50,'Safeguard facility data'!A$4:BN$312,66,0)</f>
        <v>209320</v>
      </c>
      <c r="G50" s="61"/>
      <c r="H50" s="61"/>
      <c r="I50" s="61"/>
      <c r="J50" s="61"/>
      <c r="K50" s="61"/>
      <c r="L50" s="61"/>
      <c r="M50" s="61"/>
      <c r="N50" s="61"/>
      <c r="O50" s="61"/>
      <c r="P50" s="61"/>
      <c r="Q50" s="61"/>
      <c r="R50" s="61"/>
      <c r="S50" s="61"/>
    </row>
    <row r="51" spans="1:19" ht="14.5">
      <c r="A51" s="221"/>
      <c r="B51" s="223"/>
      <c r="C51" s="223"/>
      <c r="D51" s="223"/>
      <c r="E51" s="1" t="s">
        <v>443</v>
      </c>
      <c r="F51" s="80">
        <f>VLOOKUP(E51,'Safeguard facility data'!A$4:BN$312,66,0)</f>
        <v>114654</v>
      </c>
      <c r="G51" s="61"/>
      <c r="H51" s="61"/>
      <c r="I51" s="61"/>
      <c r="J51" s="61"/>
      <c r="K51" s="61"/>
      <c r="L51" s="61"/>
      <c r="M51" s="61"/>
      <c r="N51" s="61"/>
      <c r="O51" s="61"/>
      <c r="P51" s="61"/>
      <c r="Q51" s="61"/>
      <c r="R51" s="61"/>
      <c r="S51" s="61"/>
    </row>
    <row r="52" spans="1:19" ht="14.5">
      <c r="A52" s="221"/>
      <c r="B52" s="223"/>
      <c r="C52" s="223"/>
      <c r="D52" s="223"/>
      <c r="E52" s="1" t="s">
        <v>586</v>
      </c>
      <c r="F52" s="80">
        <f>VLOOKUP(E52,'Safeguard facility data'!A$4:BN$312,66,0)</f>
        <v>1270162</v>
      </c>
      <c r="G52" s="61"/>
      <c r="H52" s="61"/>
      <c r="I52" s="61"/>
      <c r="J52" s="61"/>
      <c r="K52" s="61"/>
      <c r="L52" s="61"/>
      <c r="M52" s="61"/>
      <c r="N52" s="61"/>
      <c r="O52" s="61"/>
      <c r="P52" s="61"/>
      <c r="Q52" s="61"/>
      <c r="R52" s="61"/>
      <c r="S52" s="61"/>
    </row>
    <row r="53" spans="1:19" ht="14.5">
      <c r="A53" s="220" t="s">
        <v>866</v>
      </c>
      <c r="B53" s="222">
        <f>SUM(F53:F58)</f>
        <v>52812109</v>
      </c>
      <c r="C53" s="224" t="s">
        <v>867</v>
      </c>
      <c r="D53" s="225" t="s">
        <v>868</v>
      </c>
      <c r="E53" s="1" t="s">
        <v>591</v>
      </c>
      <c r="F53" s="80">
        <f>VLOOKUP(E53,'Safeguard facility data'!A$4:BN$312,66,0)</f>
        <v>518525</v>
      </c>
      <c r="G53" s="61"/>
      <c r="H53" s="61"/>
      <c r="I53" s="61"/>
      <c r="J53" s="61"/>
      <c r="K53" s="61"/>
      <c r="L53" s="61"/>
      <c r="M53" s="61"/>
      <c r="N53" s="61"/>
      <c r="O53" s="61"/>
      <c r="P53" s="61"/>
      <c r="Q53" s="61"/>
      <c r="R53" s="61"/>
      <c r="S53" s="61"/>
    </row>
    <row r="54" spans="1:19" ht="14.5">
      <c r="A54" s="221"/>
      <c r="B54" s="223"/>
      <c r="C54" s="223"/>
      <c r="D54" s="223"/>
      <c r="E54" s="1" t="s">
        <v>399</v>
      </c>
      <c r="F54" s="80">
        <f>VLOOKUP(E54,'Safeguard facility data'!A$4:BN$312,66,0)</f>
        <v>0</v>
      </c>
      <c r="G54" s="61"/>
      <c r="H54" s="61"/>
      <c r="I54" s="61"/>
      <c r="J54" s="61"/>
      <c r="K54" s="61"/>
      <c r="L54" s="61"/>
      <c r="M54" s="61"/>
      <c r="N54" s="61"/>
      <c r="O54" s="61"/>
      <c r="P54" s="61"/>
      <c r="Q54" s="61"/>
      <c r="R54" s="61"/>
      <c r="S54" s="61"/>
    </row>
    <row r="55" spans="1:19" ht="14.5">
      <c r="A55" s="221"/>
      <c r="B55" s="223"/>
      <c r="C55" s="223"/>
      <c r="D55" s="223"/>
      <c r="E55" s="1" t="s">
        <v>400</v>
      </c>
      <c r="F55" s="80">
        <f>VLOOKUP(E55,'Safeguard facility data'!A$4:BN$312,66,0)</f>
        <v>37437807</v>
      </c>
      <c r="G55" s="61"/>
      <c r="J55" s="61"/>
      <c r="K55" s="61"/>
      <c r="L55" s="61"/>
      <c r="M55" s="61"/>
      <c r="N55" s="61"/>
      <c r="O55" s="61"/>
      <c r="P55" s="61"/>
      <c r="Q55" s="61"/>
      <c r="R55" s="61"/>
      <c r="S55" s="61"/>
    </row>
    <row r="56" spans="1:19" ht="14.5">
      <c r="A56" s="221"/>
      <c r="B56" s="223"/>
      <c r="C56" s="223"/>
      <c r="D56" s="223"/>
      <c r="E56" s="1" t="s">
        <v>401</v>
      </c>
      <c r="F56" s="80">
        <f>VLOOKUP(E56,'Safeguard facility data'!A$4:BN$312,66,0)</f>
        <v>0</v>
      </c>
      <c r="G56" s="61"/>
      <c r="J56" s="61"/>
      <c r="K56" s="61"/>
      <c r="L56" s="61"/>
      <c r="M56" s="61"/>
      <c r="N56" s="61"/>
      <c r="O56" s="61"/>
      <c r="P56" s="61"/>
      <c r="Q56" s="61"/>
      <c r="R56" s="61"/>
      <c r="S56" s="61"/>
    </row>
    <row r="57" spans="1:19" ht="14.5">
      <c r="A57" s="221"/>
      <c r="B57" s="223"/>
      <c r="C57" s="223"/>
      <c r="D57" s="223"/>
      <c r="E57" s="1" t="s">
        <v>581</v>
      </c>
      <c r="F57" s="80">
        <f>VLOOKUP(E57,'Safeguard facility data'!A$4:BN$312,66,0)</f>
        <v>0</v>
      </c>
      <c r="G57" s="61"/>
      <c r="J57" s="61"/>
      <c r="K57" s="61"/>
      <c r="L57" s="61"/>
      <c r="M57" s="61"/>
      <c r="N57" s="61"/>
      <c r="O57" s="61"/>
      <c r="P57" s="61"/>
      <c r="Q57" s="61"/>
      <c r="R57" s="61"/>
      <c r="S57" s="61"/>
    </row>
    <row r="58" spans="1:19" ht="14.5">
      <c r="A58" s="221"/>
      <c r="B58" s="223"/>
      <c r="C58" s="223"/>
      <c r="D58" s="223"/>
      <c r="E58" s="1" t="s">
        <v>590</v>
      </c>
      <c r="F58" s="80">
        <f>VLOOKUP(E58,'Safeguard facility data'!A$4:BN$312,66,0)</f>
        <v>14855777</v>
      </c>
      <c r="G58" s="61"/>
      <c r="J58" s="61"/>
      <c r="K58" s="61"/>
      <c r="L58" s="61"/>
      <c r="M58" s="61"/>
      <c r="N58" s="61"/>
      <c r="O58" s="61"/>
      <c r="P58" s="61"/>
      <c r="Q58" s="61"/>
      <c r="R58" s="61"/>
      <c r="S58" s="61"/>
    </row>
    <row r="59" spans="1:19" ht="14.5">
      <c r="A59" s="220" t="s">
        <v>869</v>
      </c>
      <c r="B59" s="222">
        <f>SUM(F59:F63)</f>
        <v>49078051</v>
      </c>
      <c r="C59" s="224" t="s">
        <v>870</v>
      </c>
      <c r="D59" s="225" t="s">
        <v>871</v>
      </c>
      <c r="E59" s="1" t="s">
        <v>503</v>
      </c>
      <c r="F59" s="80">
        <f>VLOOKUP(E59,'Safeguard facility data'!A$4:BN$312,66,0)</f>
        <v>9454941</v>
      </c>
      <c r="G59" s="61"/>
      <c r="J59" s="61"/>
      <c r="K59" s="61"/>
      <c r="L59" s="61"/>
      <c r="M59" s="61"/>
      <c r="N59" s="61"/>
      <c r="O59" s="61"/>
      <c r="P59" s="61"/>
      <c r="Q59" s="61"/>
      <c r="R59" s="61"/>
      <c r="S59" s="61"/>
    </row>
    <row r="60" spans="1:19" ht="14.5">
      <c r="A60" s="221"/>
      <c r="B60" s="223"/>
      <c r="C60" s="223"/>
      <c r="D60" s="223"/>
      <c r="E60" s="1" t="s">
        <v>578</v>
      </c>
      <c r="F60" s="80">
        <f>VLOOKUP(E60,'Safeguard facility data'!A$4:BN$312,66,0)</f>
        <v>1295859</v>
      </c>
      <c r="G60" s="61"/>
      <c r="J60" s="61"/>
      <c r="K60" s="61"/>
      <c r="L60" s="61"/>
      <c r="M60" s="61"/>
      <c r="N60" s="61"/>
      <c r="O60" s="61"/>
      <c r="P60" s="61"/>
      <c r="Q60" s="61"/>
      <c r="R60" s="61"/>
      <c r="S60" s="61"/>
    </row>
    <row r="61" spans="1:19" ht="14.5">
      <c r="A61" s="221"/>
      <c r="B61" s="223"/>
      <c r="C61" s="223"/>
      <c r="D61" s="223"/>
      <c r="E61" s="1" t="s">
        <v>377</v>
      </c>
      <c r="F61" s="80">
        <f>VLOOKUP(E61,'Safeguard facility data'!A$4:BN$312,66,0)</f>
        <v>411616</v>
      </c>
      <c r="G61" s="61"/>
      <c r="J61" s="61"/>
      <c r="K61" s="61"/>
      <c r="L61" s="61"/>
      <c r="M61" s="61"/>
      <c r="N61" s="61"/>
      <c r="O61" s="61"/>
      <c r="P61" s="61"/>
      <c r="Q61" s="61"/>
      <c r="R61" s="61"/>
      <c r="S61" s="61"/>
    </row>
    <row r="62" spans="1:19" ht="14.5">
      <c r="A62" s="221"/>
      <c r="B62" s="223"/>
      <c r="C62" s="223"/>
      <c r="D62" s="223"/>
      <c r="E62" s="1" t="s">
        <v>299</v>
      </c>
      <c r="F62" s="80">
        <f>VLOOKUP(E62,'Safeguard facility data'!A$4:BN$312,66,0)</f>
        <v>1562816</v>
      </c>
      <c r="G62" s="61"/>
      <c r="J62" s="61"/>
      <c r="K62" s="61"/>
      <c r="L62" s="61"/>
      <c r="M62" s="61"/>
      <c r="N62" s="61"/>
      <c r="O62" s="61"/>
      <c r="P62" s="61"/>
      <c r="Q62" s="61"/>
      <c r="R62" s="61"/>
      <c r="S62" s="61"/>
    </row>
    <row r="63" spans="1:19" ht="14.5">
      <c r="A63" s="221"/>
      <c r="B63" s="223"/>
      <c r="C63" s="223"/>
      <c r="D63" s="223"/>
      <c r="E63" s="1" t="s">
        <v>481</v>
      </c>
      <c r="F63" s="80">
        <f>VLOOKUP(E63,'Safeguard facility data'!A$4:BN$312,66,0)</f>
        <v>36352819</v>
      </c>
      <c r="G63" s="61"/>
      <c r="J63" s="61"/>
      <c r="K63" s="61"/>
      <c r="L63" s="61"/>
      <c r="M63" s="61"/>
      <c r="N63" s="61"/>
      <c r="O63" s="61"/>
      <c r="P63" s="61"/>
      <c r="Q63" s="61"/>
      <c r="R63" s="61"/>
      <c r="S63" s="61"/>
    </row>
    <row r="64" spans="1:19" ht="14.5">
      <c r="A64" s="220" t="s">
        <v>872</v>
      </c>
      <c r="B64" s="222">
        <f>SUM(F64:F76)</f>
        <v>33743643</v>
      </c>
      <c r="C64" s="224" t="s">
        <v>873</v>
      </c>
      <c r="D64" s="225" t="s">
        <v>874</v>
      </c>
      <c r="E64" s="1" t="s">
        <v>301</v>
      </c>
      <c r="F64" s="80">
        <f>VLOOKUP(E64,'Safeguard facility data'!A$4:BN$312,66,0)</f>
        <v>0</v>
      </c>
      <c r="G64" s="61"/>
      <c r="J64" s="61"/>
      <c r="K64" s="61"/>
      <c r="L64" s="61"/>
      <c r="M64" s="61"/>
      <c r="N64" s="61"/>
      <c r="O64" s="61"/>
      <c r="P64" s="61"/>
      <c r="Q64" s="61"/>
      <c r="R64" s="61"/>
      <c r="S64" s="61"/>
    </row>
    <row r="65" spans="1:19" ht="14.5">
      <c r="A65" s="221"/>
      <c r="B65" s="223"/>
      <c r="C65" s="223"/>
      <c r="D65" s="223"/>
      <c r="E65" s="1" t="s">
        <v>312</v>
      </c>
      <c r="F65" s="80">
        <f>VLOOKUP(E65,'Safeguard facility data'!A$4:BN$312,66,0)</f>
        <v>827791</v>
      </c>
      <c r="G65" s="61"/>
      <c r="H65" s="61"/>
      <c r="I65" s="61"/>
      <c r="J65" s="61"/>
      <c r="K65" s="61"/>
      <c r="L65" s="61"/>
      <c r="M65" s="61"/>
      <c r="N65" s="61"/>
      <c r="O65" s="61"/>
      <c r="P65" s="61"/>
      <c r="Q65" s="61"/>
      <c r="R65" s="61"/>
      <c r="S65" s="61"/>
    </row>
    <row r="66" spans="1:19" ht="14.5">
      <c r="A66" s="221"/>
      <c r="B66" s="223"/>
      <c r="C66" s="223"/>
      <c r="D66" s="223"/>
      <c r="E66" s="1" t="s">
        <v>319</v>
      </c>
      <c r="F66" s="80">
        <f>VLOOKUP(E66,'Safeguard facility data'!A$4:BN$312,66,0)</f>
        <v>233243</v>
      </c>
      <c r="G66" s="61"/>
      <c r="H66" s="61"/>
      <c r="I66" s="61"/>
      <c r="J66" s="61"/>
      <c r="K66" s="61"/>
      <c r="L66" s="61"/>
      <c r="M66" s="61"/>
      <c r="N66" s="61"/>
      <c r="O66" s="61"/>
      <c r="P66" s="61"/>
      <c r="Q66" s="61"/>
      <c r="R66" s="61"/>
      <c r="S66" s="61"/>
    </row>
    <row r="67" spans="1:19" ht="14.5">
      <c r="A67" s="221"/>
      <c r="B67" s="223"/>
      <c r="C67" s="223"/>
      <c r="D67" s="223"/>
      <c r="E67" s="1" t="s">
        <v>362</v>
      </c>
      <c r="F67" s="80">
        <f>VLOOKUP(E67,'Safeguard facility data'!A$4:BN$312,66,0)</f>
        <v>7894354</v>
      </c>
      <c r="G67" s="61"/>
      <c r="H67" s="61"/>
      <c r="I67" s="61"/>
      <c r="J67" s="61"/>
      <c r="K67" s="61"/>
      <c r="L67" s="61"/>
      <c r="M67" s="61"/>
      <c r="N67" s="61"/>
      <c r="O67" s="61"/>
      <c r="P67" s="61"/>
      <c r="Q67" s="61"/>
      <c r="R67" s="61"/>
      <c r="S67" s="61"/>
    </row>
    <row r="68" spans="1:19" ht="14.5">
      <c r="A68" s="221"/>
      <c r="B68" s="223"/>
      <c r="C68" s="223"/>
      <c r="D68" s="223"/>
      <c r="E68" s="1" t="s">
        <v>383</v>
      </c>
      <c r="F68" s="80">
        <f>VLOOKUP(E68,'Safeguard facility data'!A$4:BN$312,66,0)</f>
        <v>1918405</v>
      </c>
      <c r="G68" s="61"/>
      <c r="H68" s="61"/>
      <c r="I68" s="61"/>
      <c r="J68" s="61"/>
      <c r="K68" s="61"/>
      <c r="L68" s="61"/>
      <c r="M68" s="61"/>
      <c r="N68" s="61"/>
      <c r="O68" s="61"/>
      <c r="P68" s="61"/>
      <c r="Q68" s="61"/>
      <c r="R68" s="61"/>
      <c r="S68" s="61"/>
    </row>
    <row r="69" spans="1:19" ht="14.5">
      <c r="A69" s="221"/>
      <c r="B69" s="223"/>
      <c r="C69" s="223"/>
      <c r="D69" s="223"/>
      <c r="E69" s="1" t="s">
        <v>451</v>
      </c>
      <c r="F69" s="80">
        <f>VLOOKUP(E69,'Safeguard facility data'!A$4:BN$312,66,0)</f>
        <v>11771021</v>
      </c>
      <c r="G69" s="61"/>
      <c r="H69" s="61"/>
      <c r="I69" s="61"/>
      <c r="J69" s="61"/>
      <c r="K69" s="61"/>
      <c r="L69" s="61"/>
      <c r="M69" s="61"/>
      <c r="N69" s="61"/>
      <c r="O69" s="61"/>
      <c r="P69" s="61"/>
      <c r="Q69" s="61"/>
      <c r="R69" s="61"/>
      <c r="S69" s="61"/>
    </row>
    <row r="70" spans="1:19" ht="14.5">
      <c r="A70" s="221"/>
      <c r="B70" s="223"/>
      <c r="C70" s="223"/>
      <c r="D70" s="223"/>
      <c r="E70" s="1" t="s">
        <v>452</v>
      </c>
      <c r="F70" s="80">
        <f>VLOOKUP(E70,'Safeguard facility data'!A$4:BN$312,66,0)</f>
        <v>0</v>
      </c>
      <c r="G70" s="61"/>
      <c r="H70" s="61"/>
      <c r="I70" s="61"/>
      <c r="J70" s="61"/>
      <c r="K70" s="61"/>
      <c r="L70" s="61"/>
      <c r="M70" s="61"/>
      <c r="N70" s="61"/>
      <c r="O70" s="61"/>
      <c r="P70" s="61"/>
      <c r="Q70" s="61"/>
      <c r="R70" s="61"/>
      <c r="S70" s="61"/>
    </row>
    <row r="71" spans="1:19" ht="14.5">
      <c r="A71" s="221"/>
      <c r="B71" s="223"/>
      <c r="C71" s="223"/>
      <c r="D71" s="223"/>
      <c r="E71" s="1" t="s">
        <v>475</v>
      </c>
      <c r="F71" s="80">
        <f>VLOOKUP(E71,'Safeguard facility data'!A$4:BN$312,66,0)</f>
        <v>1060520</v>
      </c>
      <c r="G71" s="61"/>
      <c r="H71" s="61"/>
      <c r="I71" s="61"/>
      <c r="J71" s="61"/>
      <c r="K71" s="61"/>
      <c r="L71" s="61"/>
      <c r="M71" s="61"/>
      <c r="N71" s="61"/>
      <c r="O71" s="61"/>
      <c r="P71" s="61"/>
      <c r="Q71" s="61"/>
      <c r="R71" s="61"/>
      <c r="S71" s="61"/>
    </row>
    <row r="72" spans="1:19" ht="14.5">
      <c r="A72" s="221"/>
      <c r="B72" s="223"/>
      <c r="C72" s="223"/>
      <c r="D72" s="223"/>
      <c r="E72" s="1" t="s">
        <v>506</v>
      </c>
      <c r="F72" s="80">
        <f>VLOOKUP(E72,'Safeguard facility data'!A$4:BN$312,66,0)</f>
        <v>489140</v>
      </c>
      <c r="G72" s="61"/>
      <c r="H72" s="61"/>
      <c r="I72" s="61"/>
      <c r="J72" s="61"/>
      <c r="K72" s="61"/>
      <c r="L72" s="61"/>
      <c r="M72" s="61"/>
      <c r="N72" s="61"/>
      <c r="O72" s="61"/>
      <c r="P72" s="61"/>
      <c r="Q72" s="61"/>
      <c r="R72" s="61"/>
      <c r="S72" s="61"/>
    </row>
    <row r="73" spans="1:19" ht="14.5">
      <c r="A73" s="221"/>
      <c r="B73" s="223"/>
      <c r="C73" s="223"/>
      <c r="D73" s="223"/>
      <c r="E73" s="1" t="s">
        <v>537</v>
      </c>
      <c r="F73" s="80">
        <f>VLOOKUP(E73,'Safeguard facility data'!A$4:BN$312,66,0)</f>
        <v>224853</v>
      </c>
      <c r="G73" s="61"/>
      <c r="H73" s="61"/>
      <c r="I73" s="61"/>
      <c r="J73" s="61"/>
      <c r="K73" s="61"/>
      <c r="L73" s="61"/>
      <c r="M73" s="61"/>
      <c r="N73" s="61"/>
      <c r="O73" s="61"/>
      <c r="P73" s="61"/>
      <c r="Q73" s="61"/>
      <c r="R73" s="61"/>
      <c r="S73" s="61"/>
    </row>
    <row r="74" spans="1:19" ht="14.5">
      <c r="A74" s="221"/>
      <c r="B74" s="223"/>
      <c r="C74" s="223"/>
      <c r="D74" s="223"/>
      <c r="E74" s="1" t="s">
        <v>575</v>
      </c>
      <c r="F74" s="80">
        <f>VLOOKUP(E74,'Safeguard facility data'!A$4:BN$312,66,0)</f>
        <v>1370245</v>
      </c>
      <c r="G74" s="61"/>
      <c r="H74" s="61"/>
      <c r="I74" s="61"/>
      <c r="J74" s="61"/>
      <c r="K74" s="61"/>
      <c r="L74" s="61"/>
      <c r="M74" s="61"/>
      <c r="N74" s="61"/>
      <c r="O74" s="61"/>
      <c r="P74" s="61"/>
      <c r="Q74" s="61"/>
      <c r="R74" s="61"/>
      <c r="S74" s="61"/>
    </row>
    <row r="75" spans="1:19" ht="14.5">
      <c r="A75" s="221"/>
      <c r="B75" s="223"/>
      <c r="C75" s="223"/>
      <c r="D75" s="223"/>
      <c r="E75" s="1" t="s">
        <v>394</v>
      </c>
      <c r="F75" s="80">
        <f>VLOOKUP(E75,'Safeguard facility data'!A$4:BN$312,66,0)</f>
        <v>0</v>
      </c>
      <c r="G75" s="61"/>
      <c r="J75" s="61"/>
      <c r="K75" s="61"/>
      <c r="L75" s="61"/>
      <c r="M75" s="61"/>
      <c r="N75" s="61"/>
      <c r="O75" s="61"/>
      <c r="P75" s="61"/>
      <c r="Q75" s="61"/>
      <c r="R75" s="61"/>
      <c r="S75" s="61"/>
    </row>
    <row r="76" spans="1:19" ht="14.5">
      <c r="A76" s="221"/>
      <c r="B76" s="223"/>
      <c r="C76" s="223"/>
      <c r="D76" s="223"/>
      <c r="E76" s="1" t="s">
        <v>358</v>
      </c>
      <c r="F76" s="80">
        <f>VLOOKUP(E76,'Safeguard facility data'!A$4:BN$312,66,0)</f>
        <v>7954071</v>
      </c>
      <c r="G76" s="61"/>
      <c r="H76" s="61"/>
      <c r="I76" s="61"/>
      <c r="J76" s="61"/>
      <c r="K76" s="61"/>
      <c r="L76" s="61"/>
      <c r="M76" s="61"/>
      <c r="N76" s="61"/>
      <c r="O76" s="61"/>
      <c r="P76" s="61"/>
      <c r="Q76" s="61"/>
      <c r="R76" s="61"/>
      <c r="S76" s="61"/>
    </row>
    <row r="77" spans="1:19" ht="14.5">
      <c r="A77" s="220" t="s">
        <v>875</v>
      </c>
      <c r="B77" s="222">
        <f>SUM(F77:F82)</f>
        <v>31785694</v>
      </c>
      <c r="C77" s="224" t="s">
        <v>876</v>
      </c>
      <c r="D77" s="225" t="s">
        <v>877</v>
      </c>
      <c r="E77" s="1" t="s">
        <v>333</v>
      </c>
      <c r="F77" s="80">
        <f>VLOOKUP(E77,'Safeguard facility data'!A$4:BN$312,66,0)</f>
        <v>13452346</v>
      </c>
      <c r="G77" s="61"/>
      <c r="H77" s="61"/>
      <c r="I77" s="61"/>
      <c r="J77" s="61"/>
      <c r="K77" s="61"/>
      <c r="L77" s="61"/>
      <c r="M77" s="61"/>
      <c r="N77" s="61"/>
      <c r="O77" s="61"/>
      <c r="P77" s="61"/>
      <c r="Q77" s="61"/>
      <c r="R77" s="61"/>
      <c r="S77" s="61"/>
    </row>
    <row r="78" spans="1:19" ht="14.5">
      <c r="A78" s="221"/>
      <c r="B78" s="223"/>
      <c r="C78" s="223"/>
      <c r="D78" s="223"/>
      <c r="E78" s="1" t="s">
        <v>343</v>
      </c>
      <c r="F78" s="80">
        <f>VLOOKUP(E78,'Safeguard facility data'!A$4:BN$312,66,0)</f>
        <v>0</v>
      </c>
      <c r="G78" s="61"/>
      <c r="H78" s="61"/>
      <c r="I78" s="61"/>
      <c r="J78" s="61"/>
      <c r="K78" s="61"/>
      <c r="L78" s="61"/>
      <c r="M78" s="61"/>
      <c r="N78" s="61"/>
      <c r="O78" s="61"/>
      <c r="P78" s="61"/>
      <c r="Q78" s="61"/>
      <c r="R78" s="61"/>
      <c r="S78" s="61"/>
    </row>
    <row r="79" spans="1:19" ht="14.5">
      <c r="A79" s="221"/>
      <c r="B79" s="223"/>
      <c r="C79" s="223"/>
      <c r="D79" s="223"/>
      <c r="E79" s="1" t="s">
        <v>361</v>
      </c>
      <c r="F79" s="80">
        <f>VLOOKUP(E79,'Safeguard facility data'!A$4:BN$312,66,0)</f>
        <v>112089</v>
      </c>
      <c r="G79" s="61"/>
      <c r="H79" s="61"/>
      <c r="I79" s="61"/>
      <c r="J79" s="61"/>
      <c r="K79" s="61"/>
      <c r="L79" s="61"/>
      <c r="M79" s="61"/>
      <c r="N79" s="61"/>
      <c r="O79" s="61"/>
      <c r="P79" s="61"/>
      <c r="Q79" s="61"/>
      <c r="R79" s="61"/>
      <c r="S79" s="61"/>
    </row>
    <row r="80" spans="1:19" ht="14.5">
      <c r="A80" s="221"/>
      <c r="B80" s="223"/>
      <c r="C80" s="223"/>
      <c r="D80" s="223"/>
      <c r="E80" s="1" t="s">
        <v>364</v>
      </c>
      <c r="F80" s="80">
        <f>VLOOKUP(E80,'Safeguard facility data'!A$4:BN$312,66,0)</f>
        <v>2233514</v>
      </c>
      <c r="G80" s="61"/>
      <c r="H80" s="61"/>
      <c r="I80" s="61"/>
      <c r="J80" s="61"/>
      <c r="K80" s="61"/>
      <c r="L80" s="61"/>
      <c r="M80" s="61"/>
      <c r="N80" s="61"/>
      <c r="O80" s="61"/>
      <c r="P80" s="61"/>
      <c r="Q80" s="61"/>
      <c r="R80" s="61"/>
      <c r="S80" s="61"/>
    </row>
    <row r="81" spans="1:19" ht="14.5">
      <c r="A81" s="221"/>
      <c r="B81" s="223"/>
      <c r="C81" s="223"/>
      <c r="D81" s="223"/>
      <c r="E81" s="1" t="s">
        <v>405</v>
      </c>
      <c r="F81" s="80">
        <f>VLOOKUP(E81,'Safeguard facility data'!A$4:BN$312,66,0)</f>
        <v>5499130</v>
      </c>
      <c r="G81" s="61"/>
      <c r="J81" s="61"/>
      <c r="K81" s="61"/>
      <c r="L81" s="61"/>
      <c r="M81" s="61"/>
      <c r="N81" s="61"/>
      <c r="O81" s="61"/>
      <c r="P81" s="61"/>
      <c r="Q81" s="61"/>
      <c r="R81" s="61"/>
      <c r="S81" s="61"/>
    </row>
    <row r="82" spans="1:19" ht="14.5">
      <c r="A82" s="221"/>
      <c r="B82" s="223"/>
      <c r="C82" s="223"/>
      <c r="D82" s="223"/>
      <c r="E82" s="1" t="s">
        <v>455</v>
      </c>
      <c r="F82" s="80">
        <f>VLOOKUP(E82,'Safeguard facility data'!A$4:BN$312,66,0)</f>
        <v>10488615</v>
      </c>
      <c r="G82" s="61"/>
      <c r="H82" s="61"/>
      <c r="I82" s="61"/>
      <c r="J82" s="61"/>
      <c r="K82" s="61"/>
      <c r="L82" s="61"/>
      <c r="M82" s="61"/>
      <c r="N82" s="61"/>
      <c r="O82" s="61"/>
      <c r="P82" s="61"/>
      <c r="Q82" s="61"/>
      <c r="R82" s="61"/>
      <c r="S82" s="61"/>
    </row>
    <row r="83" spans="1:19" ht="14.5">
      <c r="A83" s="220" t="s">
        <v>878</v>
      </c>
      <c r="B83" s="222">
        <f>SUM(F83:F84)</f>
        <v>31491296</v>
      </c>
      <c r="C83" s="224" t="s">
        <v>879</v>
      </c>
      <c r="D83" s="225" t="s">
        <v>880</v>
      </c>
      <c r="E83" s="1" t="s">
        <v>507</v>
      </c>
      <c r="F83" s="80">
        <f>VLOOKUP(E83,'Safeguard facility data'!A$4:BN$312,66,0)</f>
        <v>30960496</v>
      </c>
      <c r="G83" s="61"/>
      <c r="H83" s="61"/>
      <c r="I83" s="61"/>
      <c r="J83" s="61"/>
      <c r="K83" s="61"/>
      <c r="L83" s="61"/>
      <c r="M83" s="61"/>
      <c r="N83" s="61"/>
      <c r="O83" s="61"/>
      <c r="P83" s="61"/>
      <c r="Q83" s="61"/>
      <c r="R83" s="61"/>
      <c r="S83" s="61"/>
    </row>
    <row r="84" spans="1:19" ht="25.5" customHeight="1">
      <c r="A84" s="221"/>
      <c r="B84" s="223"/>
      <c r="C84" s="223"/>
      <c r="D84" s="223"/>
      <c r="E84" s="1" t="s">
        <v>589</v>
      </c>
      <c r="F84" s="80">
        <f>VLOOKUP(E84,'Safeguard facility data'!A$4:BN$312,66,0)</f>
        <v>530800</v>
      </c>
      <c r="G84" s="61"/>
      <c r="H84" s="61"/>
      <c r="I84" s="61"/>
      <c r="J84" s="61"/>
      <c r="K84" s="61"/>
      <c r="L84" s="61"/>
      <c r="M84" s="61"/>
      <c r="N84" s="61"/>
      <c r="O84" s="61"/>
      <c r="P84" s="61"/>
      <c r="Q84" s="61"/>
      <c r="R84" s="61"/>
      <c r="S84" s="61"/>
    </row>
    <row r="85" spans="1:19" ht="14.5">
      <c r="A85" s="220" t="s">
        <v>881</v>
      </c>
      <c r="B85" s="222">
        <f>SUM(F85:F102)</f>
        <v>31469295</v>
      </c>
      <c r="C85" s="224" t="s">
        <v>882</v>
      </c>
      <c r="D85" s="225" t="s">
        <v>883</v>
      </c>
      <c r="E85" s="1" t="s">
        <v>300</v>
      </c>
      <c r="F85" s="80">
        <f>VLOOKUP(E85,'Safeguard facility data'!A$4:BN$312,66,0)</f>
        <v>1830316</v>
      </c>
      <c r="G85" s="61"/>
      <c r="H85" s="61"/>
      <c r="I85" s="61"/>
      <c r="J85" s="61"/>
      <c r="K85" s="61"/>
      <c r="L85" s="61"/>
      <c r="M85" s="61"/>
      <c r="N85" s="61"/>
      <c r="O85" s="61"/>
      <c r="P85" s="61"/>
      <c r="Q85" s="61"/>
      <c r="R85" s="61"/>
      <c r="S85" s="61"/>
    </row>
    <row r="86" spans="1:19" ht="14.5">
      <c r="A86" s="221"/>
      <c r="B86" s="223"/>
      <c r="C86" s="223"/>
      <c r="D86" s="223"/>
      <c r="E86" s="1" t="s">
        <v>374</v>
      </c>
      <c r="F86" s="80">
        <f>VLOOKUP(E86,'Safeguard facility data'!A$4:BN$312,66,0)</f>
        <v>286725</v>
      </c>
      <c r="G86" s="61"/>
      <c r="J86" s="61"/>
      <c r="K86" s="61"/>
      <c r="L86" s="61"/>
      <c r="M86" s="61"/>
      <c r="N86" s="61"/>
      <c r="O86" s="61"/>
      <c r="P86" s="61"/>
      <c r="Q86" s="61"/>
      <c r="R86" s="61"/>
      <c r="S86" s="61"/>
    </row>
    <row r="87" spans="1:19" ht="14.5">
      <c r="A87" s="221"/>
      <c r="B87" s="223"/>
      <c r="C87" s="223"/>
      <c r="D87" s="223"/>
      <c r="E87" s="1" t="s">
        <v>413</v>
      </c>
      <c r="F87" s="80">
        <f>VLOOKUP(E87,'Safeguard facility data'!A$4:BN$312,66,0)</f>
        <v>2528165</v>
      </c>
      <c r="G87" s="61"/>
      <c r="H87" s="61"/>
      <c r="I87" s="61"/>
      <c r="J87" s="61"/>
      <c r="K87" s="61"/>
      <c r="L87" s="61"/>
      <c r="M87" s="61"/>
      <c r="N87" s="61"/>
      <c r="O87" s="61"/>
      <c r="P87" s="61"/>
      <c r="Q87" s="61"/>
      <c r="R87" s="61"/>
      <c r="S87" s="61"/>
    </row>
    <row r="88" spans="1:19" ht="14.5">
      <c r="A88" s="221"/>
      <c r="B88" s="223"/>
      <c r="C88" s="223"/>
      <c r="D88" s="223"/>
      <c r="E88" s="1" t="s">
        <v>418</v>
      </c>
      <c r="F88" s="80">
        <f>VLOOKUP(E88,'Safeguard facility data'!A$4:BN$312,66,0)</f>
        <v>1366453</v>
      </c>
      <c r="G88" s="61"/>
      <c r="H88" s="61"/>
      <c r="I88" s="61"/>
      <c r="J88" s="61"/>
      <c r="K88" s="61"/>
      <c r="L88" s="61"/>
      <c r="M88" s="61"/>
      <c r="N88" s="61"/>
      <c r="O88" s="61"/>
      <c r="P88" s="61"/>
      <c r="Q88" s="61"/>
      <c r="R88" s="61"/>
      <c r="S88" s="61"/>
    </row>
    <row r="89" spans="1:19" ht="14.5">
      <c r="A89" s="221"/>
      <c r="B89" s="223"/>
      <c r="C89" s="223"/>
      <c r="D89" s="223"/>
      <c r="E89" s="1" t="s">
        <v>470</v>
      </c>
      <c r="F89" s="80">
        <f>VLOOKUP(E89,'Safeguard facility data'!A$4:BN$312,66,0)</f>
        <v>1380806</v>
      </c>
      <c r="G89" s="61"/>
      <c r="H89" s="61"/>
      <c r="I89" s="61"/>
      <c r="J89" s="61"/>
      <c r="K89" s="61"/>
      <c r="L89" s="61"/>
      <c r="M89" s="61"/>
      <c r="N89" s="61"/>
      <c r="O89" s="61"/>
      <c r="P89" s="61"/>
      <c r="Q89" s="61"/>
      <c r="R89" s="61"/>
      <c r="S89" s="61"/>
    </row>
    <row r="90" spans="1:19" ht="14.5">
      <c r="A90" s="221"/>
      <c r="B90" s="223"/>
      <c r="C90" s="223"/>
      <c r="D90" s="223"/>
      <c r="E90" s="1" t="s">
        <v>476</v>
      </c>
      <c r="F90" s="80">
        <f>VLOOKUP(E90,'Safeguard facility data'!A$4:BN$312,66,0)</f>
        <v>798220</v>
      </c>
      <c r="G90" s="61"/>
      <c r="H90" s="61"/>
      <c r="I90" s="61"/>
      <c r="J90" s="61"/>
      <c r="K90" s="61"/>
      <c r="L90" s="61"/>
      <c r="M90" s="61"/>
      <c r="N90" s="61"/>
      <c r="O90" s="61"/>
      <c r="P90" s="61"/>
      <c r="Q90" s="61"/>
      <c r="R90" s="61"/>
      <c r="S90" s="61"/>
    </row>
    <row r="91" spans="1:19" ht="14.5">
      <c r="A91" s="221"/>
      <c r="B91" s="223"/>
      <c r="C91" s="223"/>
      <c r="D91" s="223"/>
      <c r="E91" s="1" t="s">
        <v>477</v>
      </c>
      <c r="F91" s="80">
        <f>VLOOKUP(E91,'Safeguard facility data'!A$4:BN$312,66,0)</f>
        <v>815408</v>
      </c>
      <c r="G91" s="61"/>
      <c r="H91" s="61"/>
      <c r="I91" s="61"/>
      <c r="J91" s="61"/>
      <c r="K91" s="61"/>
      <c r="L91" s="61"/>
      <c r="M91" s="61"/>
      <c r="N91" s="61"/>
      <c r="O91" s="61"/>
      <c r="P91" s="61"/>
      <c r="Q91" s="61"/>
      <c r="R91" s="61"/>
      <c r="S91" s="61"/>
    </row>
    <row r="92" spans="1:19" ht="14.5">
      <c r="A92" s="221"/>
      <c r="B92" s="223"/>
      <c r="C92" s="223"/>
      <c r="D92" s="223"/>
      <c r="E92" s="1" t="s">
        <v>478</v>
      </c>
      <c r="F92" s="80">
        <f>VLOOKUP(E92,'Safeguard facility data'!A$4:BN$312,66,0)</f>
        <v>245869</v>
      </c>
      <c r="G92" s="61"/>
      <c r="H92" s="61"/>
      <c r="I92" s="61"/>
      <c r="J92" s="61"/>
      <c r="K92" s="61"/>
      <c r="L92" s="61"/>
      <c r="M92" s="61"/>
      <c r="N92" s="61"/>
      <c r="O92" s="61"/>
      <c r="P92" s="61"/>
      <c r="Q92" s="61"/>
      <c r="R92" s="61"/>
      <c r="S92" s="61"/>
    </row>
    <row r="93" spans="1:19" ht="14.5">
      <c r="A93" s="221"/>
      <c r="B93" s="223"/>
      <c r="C93" s="223"/>
      <c r="D93" s="223"/>
      <c r="E93" s="1" t="s">
        <v>489</v>
      </c>
      <c r="F93" s="80">
        <f>VLOOKUP(E93,'Safeguard facility data'!A$4:BN$312,66,0)</f>
        <v>1020579</v>
      </c>
      <c r="G93" s="61"/>
      <c r="H93" s="61"/>
      <c r="I93" s="61"/>
      <c r="J93" s="61"/>
      <c r="K93" s="61"/>
      <c r="L93" s="61"/>
      <c r="M93" s="61"/>
      <c r="N93" s="61"/>
      <c r="O93" s="61"/>
      <c r="P93" s="61"/>
      <c r="Q93" s="61"/>
      <c r="R93" s="61"/>
      <c r="S93" s="61"/>
    </row>
    <row r="94" spans="1:19" ht="14.5">
      <c r="A94" s="221"/>
      <c r="B94" s="223"/>
      <c r="C94" s="223"/>
      <c r="D94" s="223"/>
      <c r="E94" s="1" t="s">
        <v>511</v>
      </c>
      <c r="F94" s="80">
        <f>VLOOKUP(E94,'Safeguard facility data'!A$4:BN$312,66,0)</f>
        <v>2600122</v>
      </c>
      <c r="G94" s="61"/>
      <c r="H94" s="61"/>
      <c r="I94" s="61"/>
      <c r="J94" s="61"/>
      <c r="K94" s="61"/>
      <c r="L94" s="61"/>
      <c r="M94" s="61"/>
      <c r="N94" s="61"/>
      <c r="O94" s="61"/>
      <c r="P94" s="61"/>
      <c r="Q94" s="61"/>
      <c r="R94" s="61"/>
      <c r="S94" s="61"/>
    </row>
    <row r="95" spans="1:19" ht="14.5">
      <c r="A95" s="221"/>
      <c r="B95" s="223"/>
      <c r="C95" s="223"/>
      <c r="D95" s="223"/>
      <c r="E95" s="1" t="s">
        <v>597</v>
      </c>
      <c r="F95" s="80">
        <f>VLOOKUP(E95,'Safeguard facility data'!A$4:BN$312,66,0)</f>
        <v>972319</v>
      </c>
      <c r="G95" s="61"/>
      <c r="H95" s="61"/>
      <c r="I95" s="61"/>
      <c r="J95" s="61"/>
      <c r="K95" s="61"/>
      <c r="L95" s="61"/>
      <c r="M95" s="61"/>
      <c r="N95" s="61"/>
      <c r="O95" s="61"/>
      <c r="P95" s="61"/>
      <c r="Q95" s="61"/>
      <c r="R95" s="61"/>
      <c r="S95" s="61"/>
    </row>
    <row r="96" spans="1:19" ht="14.5">
      <c r="A96" s="221"/>
      <c r="B96" s="223"/>
      <c r="C96" s="223"/>
      <c r="D96" s="223"/>
      <c r="E96" s="1" t="s">
        <v>321</v>
      </c>
      <c r="F96" s="80">
        <f>VLOOKUP(E96,'Safeguard facility data'!A$4:BN$312,66,0)</f>
        <v>3137886</v>
      </c>
      <c r="G96" s="61"/>
      <c r="H96" s="61"/>
      <c r="I96" s="61"/>
      <c r="J96" s="61"/>
      <c r="K96" s="61"/>
      <c r="L96" s="61"/>
      <c r="M96" s="61"/>
      <c r="N96" s="61"/>
      <c r="O96" s="61"/>
      <c r="P96" s="61"/>
      <c r="Q96" s="61"/>
      <c r="R96" s="61"/>
      <c r="S96" s="61"/>
    </row>
    <row r="97" spans="1:19" ht="14.5">
      <c r="A97" s="221"/>
      <c r="B97" s="223"/>
      <c r="C97" s="223"/>
      <c r="D97" s="223"/>
      <c r="E97" s="1" t="s">
        <v>338</v>
      </c>
      <c r="F97" s="80">
        <f>VLOOKUP(E97,'Safeguard facility data'!A$4:BN$312,66,0)</f>
        <v>2633241</v>
      </c>
      <c r="G97" s="61"/>
      <c r="H97" s="61"/>
      <c r="I97" s="61"/>
      <c r="J97" s="61"/>
      <c r="K97" s="61"/>
      <c r="L97" s="61"/>
      <c r="M97" s="61"/>
      <c r="N97" s="61"/>
      <c r="O97" s="61"/>
      <c r="P97" s="61"/>
      <c r="Q97" s="61"/>
      <c r="R97" s="61"/>
      <c r="S97" s="61"/>
    </row>
    <row r="98" spans="1:19" ht="14.5">
      <c r="A98" s="221"/>
      <c r="B98" s="223"/>
      <c r="C98" s="223"/>
      <c r="D98" s="223"/>
      <c r="E98" s="1" t="s">
        <v>363</v>
      </c>
      <c r="F98" s="80">
        <f>VLOOKUP(E98,'Safeguard facility data'!A$4:BN$312,66,0)</f>
        <v>1381343</v>
      </c>
      <c r="G98" s="61"/>
      <c r="H98" s="61"/>
      <c r="I98" s="61"/>
      <c r="J98" s="61"/>
      <c r="K98" s="61"/>
      <c r="L98" s="61"/>
      <c r="M98" s="61"/>
      <c r="N98" s="61"/>
      <c r="O98" s="61"/>
      <c r="P98" s="61"/>
      <c r="Q98" s="61"/>
      <c r="R98" s="61"/>
      <c r="S98" s="61"/>
    </row>
    <row r="99" spans="1:19" ht="14.5">
      <c r="A99" s="221"/>
      <c r="B99" s="223"/>
      <c r="C99" s="223"/>
      <c r="D99" s="223"/>
      <c r="E99" s="1" t="s">
        <v>398</v>
      </c>
      <c r="F99" s="80">
        <f>VLOOKUP(E99,'Safeguard facility data'!A$4:BN$312,66,0)</f>
        <v>6276611</v>
      </c>
      <c r="G99" s="61"/>
      <c r="J99" s="61"/>
      <c r="K99" s="61"/>
      <c r="L99" s="61"/>
      <c r="M99" s="61"/>
      <c r="N99" s="61"/>
      <c r="O99" s="61"/>
      <c r="P99" s="61"/>
      <c r="Q99" s="61"/>
      <c r="R99" s="61"/>
      <c r="S99" s="61"/>
    </row>
    <row r="100" spans="1:19" ht="14.5">
      <c r="A100" s="221"/>
      <c r="B100" s="223"/>
      <c r="C100" s="223"/>
      <c r="D100" s="223"/>
      <c r="E100" s="1" t="s">
        <v>498</v>
      </c>
      <c r="F100" s="80">
        <f>VLOOKUP(E100,'Safeguard facility data'!A$4:BN$312,66,0)</f>
        <v>2212538</v>
      </c>
      <c r="G100" s="61"/>
      <c r="J100" s="61"/>
      <c r="K100" s="61"/>
      <c r="L100" s="61"/>
      <c r="M100" s="61"/>
      <c r="N100" s="61"/>
      <c r="O100" s="61"/>
      <c r="P100" s="61"/>
      <c r="Q100" s="61"/>
      <c r="R100" s="61"/>
      <c r="S100" s="61"/>
    </row>
    <row r="101" spans="1:19" ht="14.5">
      <c r="A101" s="221"/>
      <c r="B101" s="223"/>
      <c r="C101" s="223"/>
      <c r="D101" s="223"/>
      <c r="E101" s="1" t="s">
        <v>541</v>
      </c>
      <c r="F101" s="80">
        <f>VLOOKUP(E101,'Safeguard facility data'!A$4:BN$312,66,0)</f>
        <v>1982694</v>
      </c>
      <c r="G101" s="61"/>
      <c r="J101" s="61"/>
      <c r="K101" s="61"/>
      <c r="L101" s="61"/>
      <c r="M101" s="61"/>
      <c r="N101" s="61"/>
      <c r="O101" s="61"/>
      <c r="P101" s="61"/>
      <c r="Q101" s="61"/>
      <c r="R101" s="61"/>
      <c r="S101" s="61"/>
    </row>
    <row r="102" spans="1:19" ht="14.5">
      <c r="A102" s="221"/>
      <c r="B102" s="223"/>
      <c r="C102" s="223"/>
      <c r="D102" s="223"/>
      <c r="E102" s="1" t="s">
        <v>483</v>
      </c>
      <c r="F102" s="80">
        <f>VLOOKUP(E102,'Safeguard facility data'!A$4:BN$312,66,0)</f>
        <v>0</v>
      </c>
      <c r="G102" s="61"/>
      <c r="J102" s="61"/>
      <c r="K102" s="61"/>
      <c r="L102" s="61"/>
      <c r="M102" s="61"/>
      <c r="N102" s="61"/>
      <c r="O102" s="61"/>
      <c r="P102" s="61"/>
      <c r="Q102" s="61"/>
      <c r="R102" s="61"/>
      <c r="S102" s="61"/>
    </row>
    <row r="103" spans="1:19" ht="14.5">
      <c r="A103" s="220" t="s">
        <v>884</v>
      </c>
      <c r="B103" s="222">
        <f>SUM(F103:F107)</f>
        <v>30931390</v>
      </c>
      <c r="C103" s="224" t="s">
        <v>885</v>
      </c>
      <c r="D103" s="225" t="s">
        <v>886</v>
      </c>
      <c r="E103" s="1" t="s">
        <v>297</v>
      </c>
      <c r="F103" s="80">
        <f>VLOOKUP(E103,'Safeguard facility data'!A$4:BN$312,66,0)</f>
        <v>10417778</v>
      </c>
      <c r="G103" s="61"/>
      <c r="J103" s="61"/>
      <c r="K103" s="61"/>
      <c r="L103" s="61"/>
      <c r="M103" s="61"/>
      <c r="N103" s="61"/>
      <c r="O103" s="61"/>
      <c r="P103" s="61"/>
      <c r="Q103" s="61"/>
      <c r="R103" s="61"/>
      <c r="S103" s="61"/>
    </row>
    <row r="104" spans="1:19" ht="14.5">
      <c r="A104" s="221"/>
      <c r="B104" s="223"/>
      <c r="C104" s="223"/>
      <c r="D104" s="223"/>
      <c r="E104" s="1" t="s">
        <v>332</v>
      </c>
      <c r="F104" s="80">
        <f>VLOOKUP(E104,'Safeguard facility data'!A$4:BN$312,66,0)</f>
        <v>380831</v>
      </c>
      <c r="G104" s="61"/>
      <c r="J104" s="61"/>
      <c r="K104" s="61"/>
      <c r="L104" s="61"/>
      <c r="M104" s="61"/>
      <c r="N104" s="61"/>
      <c r="O104" s="61"/>
      <c r="P104" s="61"/>
      <c r="Q104" s="61"/>
      <c r="R104" s="61"/>
      <c r="S104" s="61"/>
    </row>
    <row r="105" spans="1:19" ht="14.5">
      <c r="A105" s="221"/>
      <c r="B105" s="223"/>
      <c r="C105" s="223"/>
      <c r="D105" s="223"/>
      <c r="E105" s="1" t="s">
        <v>366</v>
      </c>
      <c r="F105" s="80">
        <f>VLOOKUP(E105,'Safeguard facility data'!A$4:BN$312,66,0)</f>
        <v>1002197</v>
      </c>
      <c r="G105" s="61"/>
      <c r="J105" s="61"/>
      <c r="K105" s="61"/>
      <c r="L105" s="61"/>
      <c r="M105" s="61"/>
      <c r="N105" s="61"/>
      <c r="O105" s="61"/>
      <c r="P105" s="61"/>
      <c r="Q105" s="61"/>
      <c r="R105" s="61"/>
      <c r="S105" s="61"/>
    </row>
    <row r="106" spans="1:19" ht="14.5">
      <c r="A106" s="221"/>
      <c r="B106" s="223"/>
      <c r="C106" s="223"/>
      <c r="D106" s="223"/>
      <c r="E106" s="1" t="s">
        <v>596</v>
      </c>
      <c r="F106" s="80">
        <f>VLOOKUP(E106,'Safeguard facility data'!A$4:BN$312,66,0)</f>
        <v>18233453</v>
      </c>
      <c r="G106" s="61"/>
      <c r="H106" s="61"/>
      <c r="I106" s="61"/>
      <c r="J106" s="61"/>
      <c r="K106" s="61"/>
      <c r="L106" s="61"/>
      <c r="M106" s="61"/>
      <c r="N106" s="61"/>
      <c r="O106" s="61"/>
      <c r="P106" s="61"/>
      <c r="Q106" s="61"/>
      <c r="R106" s="61"/>
      <c r="S106" s="61"/>
    </row>
    <row r="107" spans="1:19" ht="14.5">
      <c r="A107" s="221"/>
      <c r="B107" s="223"/>
      <c r="C107" s="223"/>
      <c r="D107" s="223"/>
      <c r="E107" s="1" t="s">
        <v>392</v>
      </c>
      <c r="F107" s="80">
        <f>VLOOKUP(E107,'Safeguard facility data'!A$4:BN$312,66,0)</f>
        <v>897131</v>
      </c>
      <c r="G107" s="61"/>
      <c r="J107" s="61"/>
      <c r="K107" s="61"/>
      <c r="L107" s="61"/>
      <c r="M107" s="61"/>
      <c r="N107" s="61"/>
      <c r="O107" s="61"/>
      <c r="P107" s="61"/>
      <c r="Q107" s="61"/>
      <c r="R107" s="61"/>
      <c r="S107" s="61"/>
    </row>
    <row r="108" spans="1:19" ht="14.5">
      <c r="A108" s="220" t="s">
        <v>887</v>
      </c>
      <c r="B108" s="222">
        <f>SUM(F108:F128)</f>
        <v>26463832</v>
      </c>
      <c r="C108" s="224" t="s">
        <v>888</v>
      </c>
      <c r="D108" s="225" t="s">
        <v>889</v>
      </c>
      <c r="E108" s="1" t="s">
        <v>352</v>
      </c>
      <c r="F108" s="80">
        <f>VLOOKUP(E108,'Safeguard facility data'!A$4:BN$312,66,0)</f>
        <v>506115</v>
      </c>
      <c r="G108" s="61"/>
      <c r="H108" s="61"/>
      <c r="I108" s="61"/>
      <c r="J108" s="61"/>
      <c r="K108" s="61"/>
      <c r="L108" s="61"/>
      <c r="M108" s="61"/>
      <c r="N108" s="61"/>
      <c r="O108" s="61"/>
      <c r="P108" s="61"/>
      <c r="Q108" s="61"/>
      <c r="R108" s="61"/>
      <c r="S108" s="61"/>
    </row>
    <row r="109" spans="1:19" ht="14.5">
      <c r="A109" s="221"/>
      <c r="B109" s="223"/>
      <c r="C109" s="223"/>
      <c r="D109" s="223"/>
      <c r="E109" s="1" t="s">
        <v>396</v>
      </c>
      <c r="F109" s="80" t="str">
        <f>VLOOKUP(E109,'Safeguard facility data'!A$4:BN$312,66,0)</f>
        <v>n/a see note</v>
      </c>
      <c r="G109" s="61"/>
      <c r="H109" s="61"/>
      <c r="I109" s="61"/>
      <c r="J109" s="61"/>
      <c r="K109" s="61"/>
      <c r="L109" s="61"/>
      <c r="M109" s="61"/>
      <c r="N109" s="61"/>
      <c r="O109" s="61"/>
      <c r="P109" s="61"/>
      <c r="Q109" s="61"/>
      <c r="R109" s="61"/>
      <c r="S109" s="61"/>
    </row>
    <row r="110" spans="1:19" ht="14.5">
      <c r="A110" s="221"/>
      <c r="B110" s="223"/>
      <c r="C110" s="223"/>
      <c r="D110" s="223"/>
      <c r="E110" s="1" t="s">
        <v>414</v>
      </c>
      <c r="F110" s="80">
        <f>VLOOKUP(E110,'Safeguard facility data'!A$4:BN$312,66,0)</f>
        <v>2609258</v>
      </c>
      <c r="G110" s="61"/>
      <c r="H110" s="61"/>
      <c r="I110" s="61"/>
      <c r="J110" s="61"/>
      <c r="K110" s="61"/>
      <c r="L110" s="61"/>
      <c r="M110" s="61"/>
      <c r="N110" s="61"/>
      <c r="O110" s="61"/>
      <c r="P110" s="61"/>
      <c r="Q110" s="61"/>
      <c r="R110" s="61"/>
      <c r="S110" s="61"/>
    </row>
    <row r="111" spans="1:19" ht="14.5">
      <c r="A111" s="221"/>
      <c r="B111" s="223"/>
      <c r="C111" s="223"/>
      <c r="D111" s="223"/>
      <c r="E111" s="1" t="s">
        <v>437</v>
      </c>
      <c r="F111" s="80">
        <f>VLOOKUP(E111,'Safeguard facility data'!A$4:BN$312,66,0)</f>
        <v>359658</v>
      </c>
      <c r="G111" s="61"/>
      <c r="H111" s="61"/>
      <c r="I111" s="61"/>
      <c r="J111" s="61"/>
      <c r="K111" s="61"/>
      <c r="L111" s="61"/>
      <c r="M111" s="61"/>
      <c r="N111" s="61"/>
      <c r="O111" s="61"/>
      <c r="P111" s="61"/>
      <c r="Q111" s="61"/>
      <c r="R111" s="61"/>
      <c r="S111" s="61"/>
    </row>
    <row r="112" spans="1:19" ht="14.5">
      <c r="A112" s="221"/>
      <c r="B112" s="223"/>
      <c r="C112" s="223"/>
      <c r="D112" s="223"/>
      <c r="E112" s="1" t="s">
        <v>441</v>
      </c>
      <c r="F112" s="80">
        <f>VLOOKUP(E112,'Safeguard facility data'!A$4:BN$312,66,0)</f>
        <v>226240</v>
      </c>
      <c r="G112" s="61"/>
      <c r="H112" s="61"/>
      <c r="I112" s="61"/>
      <c r="J112" s="61"/>
      <c r="K112" s="61"/>
      <c r="L112" s="61"/>
      <c r="M112" s="61"/>
      <c r="N112" s="61"/>
      <c r="O112" s="61"/>
      <c r="P112" s="61"/>
      <c r="Q112" s="61"/>
      <c r="R112" s="61"/>
      <c r="S112" s="61"/>
    </row>
    <row r="113" spans="1:19" ht="14.5">
      <c r="A113" s="221"/>
      <c r="B113" s="223"/>
      <c r="C113" s="223"/>
      <c r="D113" s="223"/>
      <c r="E113" s="1" t="s">
        <v>456</v>
      </c>
      <c r="F113" s="80">
        <f>VLOOKUP(E113,'Safeguard facility data'!A$4:BN$312,66,0)</f>
        <v>1758945</v>
      </c>
      <c r="G113" s="61"/>
      <c r="H113" s="61"/>
      <c r="I113" s="61"/>
      <c r="J113" s="61"/>
      <c r="K113" s="61"/>
      <c r="L113" s="61"/>
      <c r="M113" s="61"/>
      <c r="N113" s="61"/>
      <c r="O113" s="61"/>
      <c r="P113" s="61"/>
      <c r="Q113" s="61"/>
      <c r="R113" s="61"/>
      <c r="S113" s="61"/>
    </row>
    <row r="114" spans="1:19" ht="14.5">
      <c r="A114" s="221"/>
      <c r="B114" s="223"/>
      <c r="C114" s="223"/>
      <c r="D114" s="223"/>
      <c r="E114" s="1" t="s">
        <v>459</v>
      </c>
      <c r="F114" s="80">
        <f>VLOOKUP(E114,'Safeguard facility data'!A$4:BN$312,66,0)</f>
        <v>429211</v>
      </c>
      <c r="G114" s="61"/>
      <c r="H114" s="61"/>
      <c r="I114" s="61"/>
      <c r="J114" s="61"/>
      <c r="K114" s="61"/>
      <c r="L114" s="61"/>
      <c r="M114" s="61"/>
      <c r="N114" s="61"/>
      <c r="O114" s="61"/>
      <c r="P114" s="61"/>
      <c r="Q114" s="61"/>
      <c r="R114" s="61"/>
      <c r="S114" s="61"/>
    </row>
    <row r="115" spans="1:19" ht="14.5">
      <c r="A115" s="221"/>
      <c r="B115" s="223"/>
      <c r="C115" s="223"/>
      <c r="D115" s="223"/>
      <c r="E115" s="1" t="s">
        <v>460</v>
      </c>
      <c r="F115" s="80">
        <f>VLOOKUP(E115,'Safeguard facility data'!A$4:BN$312,66,0)</f>
        <v>614230</v>
      </c>
      <c r="G115" s="61"/>
      <c r="H115" s="61"/>
      <c r="I115" s="61"/>
      <c r="J115" s="61"/>
      <c r="K115" s="61"/>
      <c r="L115" s="61"/>
      <c r="M115" s="61"/>
      <c r="N115" s="61"/>
      <c r="O115" s="61"/>
      <c r="P115" s="61"/>
      <c r="Q115" s="61"/>
      <c r="R115" s="61"/>
      <c r="S115" s="61"/>
    </row>
    <row r="116" spans="1:19" ht="14.5">
      <c r="A116" s="221"/>
      <c r="B116" s="223"/>
      <c r="C116" s="223"/>
      <c r="D116" s="223"/>
      <c r="E116" s="1" t="s">
        <v>462</v>
      </c>
      <c r="F116" s="80">
        <f>VLOOKUP(E116,'Safeguard facility data'!A$4:BN$312,66,0)</f>
        <v>2493088</v>
      </c>
      <c r="G116" s="61"/>
      <c r="H116" s="61"/>
      <c r="I116" s="61"/>
      <c r="J116" s="61"/>
      <c r="K116" s="61"/>
      <c r="L116" s="61"/>
      <c r="M116" s="61"/>
      <c r="N116" s="61"/>
      <c r="O116" s="61"/>
      <c r="P116" s="61"/>
      <c r="Q116" s="61"/>
      <c r="R116" s="61"/>
      <c r="S116" s="61"/>
    </row>
    <row r="117" spans="1:19" ht="14.5">
      <c r="A117" s="221"/>
      <c r="B117" s="223"/>
      <c r="C117" s="223"/>
      <c r="D117" s="223"/>
      <c r="E117" s="1" t="s">
        <v>469</v>
      </c>
      <c r="F117" s="80">
        <f>VLOOKUP(E117,'Safeguard facility data'!A$4:BN$312,66,0)</f>
        <v>1662266</v>
      </c>
      <c r="G117" s="61"/>
      <c r="H117" s="61"/>
      <c r="I117" s="61"/>
      <c r="J117" s="61"/>
      <c r="K117" s="61"/>
      <c r="L117" s="61"/>
      <c r="M117" s="61"/>
      <c r="N117" s="61"/>
      <c r="O117" s="61"/>
      <c r="P117" s="61"/>
      <c r="Q117" s="61"/>
      <c r="R117" s="61"/>
      <c r="S117" s="61"/>
    </row>
    <row r="118" spans="1:19" ht="14.5">
      <c r="A118" s="221"/>
      <c r="B118" s="223"/>
      <c r="C118" s="223"/>
      <c r="D118" s="223"/>
      <c r="E118" s="1" t="s">
        <v>536</v>
      </c>
      <c r="F118" s="80">
        <f>VLOOKUP(E118,'Safeguard facility data'!A$4:BN$312,66,0)</f>
        <v>799405</v>
      </c>
      <c r="G118" s="61"/>
      <c r="H118" s="61"/>
      <c r="I118" s="61"/>
      <c r="J118" s="61"/>
      <c r="K118" s="61"/>
      <c r="L118" s="61"/>
      <c r="M118" s="61"/>
      <c r="N118" s="61"/>
      <c r="O118" s="61"/>
      <c r="P118" s="61"/>
      <c r="Q118" s="61"/>
      <c r="R118" s="61"/>
      <c r="S118" s="61"/>
    </row>
    <row r="119" spans="1:19" ht="14.5">
      <c r="A119" s="221"/>
      <c r="B119" s="223"/>
      <c r="C119" s="223"/>
      <c r="D119" s="223"/>
      <c r="E119" s="1" t="s">
        <v>572</v>
      </c>
      <c r="F119" s="80">
        <f>VLOOKUP(E119,'Safeguard facility data'!A$4:BN$312,66,0)</f>
        <v>141375</v>
      </c>
      <c r="G119" s="61"/>
      <c r="H119" s="61"/>
      <c r="I119" s="61"/>
      <c r="J119" s="61"/>
      <c r="K119" s="61"/>
      <c r="L119" s="61"/>
      <c r="M119" s="61"/>
      <c r="N119" s="61"/>
      <c r="O119" s="61"/>
      <c r="P119" s="61"/>
      <c r="Q119" s="61"/>
      <c r="R119" s="61"/>
      <c r="S119" s="61"/>
    </row>
    <row r="120" spans="1:19" ht="14.5">
      <c r="A120" s="221"/>
      <c r="B120" s="223"/>
      <c r="C120" s="223"/>
      <c r="D120" s="223"/>
      <c r="E120" s="1" t="s">
        <v>573</v>
      </c>
      <c r="F120" s="80">
        <f>VLOOKUP(E120,'Safeguard facility data'!A$4:BN$312,66,0)</f>
        <v>373129</v>
      </c>
      <c r="G120" s="61"/>
      <c r="H120" s="61"/>
      <c r="I120" s="61"/>
      <c r="J120" s="61"/>
      <c r="K120" s="61"/>
      <c r="L120" s="61"/>
      <c r="M120" s="61"/>
      <c r="N120" s="61"/>
      <c r="O120" s="61"/>
      <c r="P120" s="61"/>
      <c r="Q120" s="61"/>
      <c r="R120" s="61"/>
      <c r="S120" s="61"/>
    </row>
    <row r="121" spans="1:19" ht="14.5">
      <c r="A121" s="221"/>
      <c r="B121" s="223"/>
      <c r="C121" s="223"/>
      <c r="D121" s="223"/>
      <c r="E121" s="1" t="s">
        <v>587</v>
      </c>
      <c r="F121" s="80">
        <f>VLOOKUP(E121,'Safeguard facility data'!A$4:BN$312,66,0)</f>
        <v>0</v>
      </c>
      <c r="G121" s="61"/>
      <c r="H121" s="61"/>
      <c r="I121" s="61"/>
      <c r="J121" s="61"/>
      <c r="K121" s="61"/>
      <c r="L121" s="61"/>
      <c r="M121" s="61"/>
      <c r="N121" s="61"/>
      <c r="O121" s="61"/>
      <c r="P121" s="61"/>
      <c r="Q121" s="61"/>
      <c r="R121" s="61"/>
      <c r="S121" s="61"/>
    </row>
    <row r="122" spans="1:19" ht="14.5">
      <c r="A122" s="221"/>
      <c r="B122" s="223"/>
      <c r="C122" s="223"/>
      <c r="D122" s="223"/>
      <c r="E122" s="1" t="s">
        <v>488</v>
      </c>
      <c r="F122" s="80">
        <f>VLOOKUP(E122,'Safeguard facility data'!A$4:BN$312,66,0)</f>
        <v>5622395</v>
      </c>
      <c r="G122" s="61"/>
      <c r="H122" s="61"/>
      <c r="I122" s="61"/>
      <c r="J122" s="61"/>
      <c r="K122" s="61"/>
      <c r="L122" s="61"/>
      <c r="M122" s="61"/>
      <c r="N122" s="61"/>
      <c r="O122" s="61"/>
      <c r="P122" s="61"/>
      <c r="Q122" s="61"/>
      <c r="R122" s="61"/>
      <c r="S122" s="61"/>
    </row>
    <row r="123" spans="1:19" ht="14.5">
      <c r="A123" s="221"/>
      <c r="B123" s="223"/>
      <c r="C123" s="223"/>
      <c r="D123" s="223"/>
      <c r="E123" s="1" t="s">
        <v>526</v>
      </c>
      <c r="F123" s="80">
        <f>VLOOKUP(E123,'Safeguard facility data'!A$4:BN$312,66,0)</f>
        <v>1403230</v>
      </c>
      <c r="G123" s="61"/>
      <c r="H123" s="61"/>
      <c r="I123" s="61"/>
      <c r="J123" s="61"/>
      <c r="K123" s="61"/>
      <c r="L123" s="61"/>
      <c r="M123" s="61"/>
      <c r="N123" s="61"/>
      <c r="O123" s="61"/>
      <c r="P123" s="61"/>
      <c r="Q123" s="61"/>
      <c r="R123" s="61"/>
      <c r="S123" s="61"/>
    </row>
    <row r="124" spans="1:19" ht="14.5">
      <c r="A124" s="221"/>
      <c r="B124" s="223"/>
      <c r="C124" s="223"/>
      <c r="D124" s="223"/>
      <c r="E124" s="1" t="s">
        <v>527</v>
      </c>
      <c r="F124" s="80">
        <f>VLOOKUP(E124,'Safeguard facility data'!A$4:BN$312,66,0)</f>
        <v>868581</v>
      </c>
      <c r="G124" s="61"/>
      <c r="H124" s="61"/>
      <c r="I124" s="61"/>
      <c r="J124" s="61"/>
      <c r="K124" s="61"/>
      <c r="L124" s="61"/>
      <c r="M124" s="61"/>
      <c r="N124" s="61"/>
      <c r="O124" s="61"/>
      <c r="P124" s="61"/>
      <c r="Q124" s="61"/>
      <c r="R124" s="61"/>
      <c r="S124" s="61"/>
    </row>
    <row r="125" spans="1:19" ht="14.5">
      <c r="A125" s="221"/>
      <c r="B125" s="223"/>
      <c r="C125" s="223"/>
      <c r="D125" s="223"/>
      <c r="E125" s="1" t="s">
        <v>407</v>
      </c>
      <c r="F125" s="80">
        <f>VLOOKUP(E125,'Safeguard facility data'!A$4:BN$312,66,0)</f>
        <v>2608277</v>
      </c>
      <c r="G125" s="61"/>
      <c r="J125" s="61"/>
      <c r="K125" s="61"/>
      <c r="L125" s="61"/>
      <c r="M125" s="61"/>
      <c r="N125" s="61"/>
      <c r="O125" s="61"/>
      <c r="P125" s="61"/>
      <c r="Q125" s="61"/>
      <c r="R125" s="61"/>
      <c r="S125" s="61"/>
    </row>
    <row r="126" spans="1:19" ht="14.5">
      <c r="A126" s="221"/>
      <c r="B126" s="223"/>
      <c r="C126" s="223"/>
      <c r="D126" s="223"/>
      <c r="E126" s="1" t="s">
        <v>434</v>
      </c>
      <c r="F126" s="80">
        <f>VLOOKUP(E126,'Safeguard facility data'!A$4:BN$312,66,0)</f>
        <v>873660</v>
      </c>
      <c r="G126" s="61"/>
      <c r="H126" s="61"/>
      <c r="I126" s="61"/>
      <c r="J126" s="61"/>
      <c r="K126" s="61"/>
      <c r="L126" s="61"/>
      <c r="M126" s="61"/>
      <c r="N126" s="61"/>
      <c r="O126" s="61"/>
      <c r="P126" s="61"/>
      <c r="Q126" s="61"/>
      <c r="R126" s="61"/>
      <c r="S126" s="61"/>
    </row>
    <row r="127" spans="1:19" ht="14.5">
      <c r="A127" s="221"/>
      <c r="B127" s="223"/>
      <c r="C127" s="223"/>
      <c r="D127" s="223"/>
      <c r="E127" s="1" t="s">
        <v>327</v>
      </c>
      <c r="F127" s="80">
        <f>VLOOKUP(E127,'Safeguard facility data'!A$4:BN$312,66,0)</f>
        <v>1264121</v>
      </c>
      <c r="G127" s="61"/>
      <c r="H127" s="61"/>
      <c r="I127" s="61"/>
      <c r="J127" s="61"/>
      <c r="K127" s="61"/>
      <c r="L127" s="61"/>
      <c r="M127" s="61"/>
      <c r="N127" s="61"/>
      <c r="O127" s="61"/>
      <c r="P127" s="61"/>
      <c r="Q127" s="61"/>
      <c r="R127" s="61"/>
      <c r="S127" s="61"/>
    </row>
    <row r="128" spans="1:19" ht="14.5">
      <c r="A128" s="221"/>
      <c r="B128" s="223"/>
      <c r="C128" s="223"/>
      <c r="D128" s="223"/>
      <c r="E128" s="1" t="s">
        <v>348</v>
      </c>
      <c r="F128" s="80">
        <f>VLOOKUP(E128,'Safeguard facility data'!A$4:BN$312,66,0)</f>
        <v>1850648</v>
      </c>
      <c r="G128" s="61"/>
      <c r="H128" s="61"/>
      <c r="I128" s="61"/>
      <c r="J128" s="61"/>
      <c r="K128" s="61"/>
      <c r="L128" s="61"/>
      <c r="M128" s="61"/>
      <c r="N128" s="61"/>
      <c r="O128" s="61"/>
      <c r="P128" s="61"/>
      <c r="Q128" s="61"/>
      <c r="R128" s="61"/>
      <c r="S128" s="61"/>
    </row>
    <row r="129" spans="1:19" ht="14.5">
      <c r="A129" s="220" t="s">
        <v>890</v>
      </c>
      <c r="B129" s="222">
        <f>SUM(F129:F134)</f>
        <v>21236646</v>
      </c>
      <c r="C129" s="224" t="s">
        <v>891</v>
      </c>
      <c r="D129" s="225" t="s">
        <v>2090</v>
      </c>
      <c r="E129" s="1" t="s">
        <v>431</v>
      </c>
      <c r="F129" s="80">
        <f>VLOOKUP(E129,'Safeguard facility data'!A$4:BN$312,66,0)</f>
        <v>337614</v>
      </c>
      <c r="G129" s="61"/>
      <c r="H129" s="61"/>
      <c r="I129" s="61"/>
      <c r="J129" s="61"/>
      <c r="K129" s="61"/>
      <c r="L129" s="61"/>
      <c r="M129" s="61"/>
      <c r="N129" s="61"/>
      <c r="O129" s="61"/>
      <c r="P129" s="61"/>
      <c r="Q129" s="61"/>
      <c r="R129" s="61"/>
      <c r="S129" s="61"/>
    </row>
    <row r="130" spans="1:19" ht="14.5">
      <c r="A130" s="221"/>
      <c r="B130" s="223"/>
      <c r="C130" s="223"/>
      <c r="D130" s="223"/>
      <c r="E130" s="1" t="s">
        <v>432</v>
      </c>
      <c r="F130" s="80">
        <f>VLOOKUP(E130,'Safeguard facility data'!A$4:BN$312,66,0)</f>
        <v>11987808</v>
      </c>
      <c r="G130" s="61"/>
      <c r="J130" s="61"/>
      <c r="K130" s="61"/>
      <c r="L130" s="61"/>
      <c r="M130" s="61"/>
      <c r="N130" s="61"/>
      <c r="O130" s="61"/>
      <c r="P130" s="61"/>
      <c r="Q130" s="61"/>
      <c r="R130" s="61"/>
      <c r="S130" s="61"/>
    </row>
    <row r="131" spans="1:19" ht="14.5">
      <c r="A131" s="221"/>
      <c r="B131" s="223"/>
      <c r="C131" s="223"/>
      <c r="D131" s="223"/>
      <c r="E131" s="1" t="s">
        <v>433</v>
      </c>
      <c r="F131" s="80">
        <f>VLOOKUP(E131,'Safeguard facility data'!A$4:BN$312,66,0)</f>
        <v>109012</v>
      </c>
      <c r="G131" s="61"/>
      <c r="H131" s="61"/>
      <c r="I131" s="61"/>
      <c r="J131" s="61"/>
      <c r="K131" s="61"/>
      <c r="L131" s="61"/>
      <c r="M131" s="61"/>
      <c r="N131" s="61"/>
      <c r="O131" s="61"/>
      <c r="P131" s="61"/>
      <c r="Q131" s="61"/>
      <c r="R131" s="61"/>
      <c r="S131" s="61"/>
    </row>
    <row r="132" spans="1:19" ht="14.5">
      <c r="A132" s="221"/>
      <c r="B132" s="223"/>
      <c r="C132" s="223"/>
      <c r="D132" s="223"/>
      <c r="E132" s="1" t="s">
        <v>545</v>
      </c>
      <c r="F132" s="80">
        <f>VLOOKUP(E132,'Safeguard facility data'!A$4:BN$312,66,0)</f>
        <v>212183</v>
      </c>
      <c r="G132" s="61"/>
      <c r="H132" s="61"/>
      <c r="I132" s="61"/>
      <c r="J132" s="61"/>
      <c r="K132" s="61"/>
      <c r="L132" s="61"/>
      <c r="M132" s="61"/>
      <c r="N132" s="61"/>
      <c r="O132" s="61"/>
      <c r="P132" s="61"/>
      <c r="Q132" s="61"/>
      <c r="R132" s="61"/>
      <c r="S132" s="61"/>
    </row>
    <row r="133" spans="1:19" ht="14.5">
      <c r="A133" s="221"/>
      <c r="B133" s="223"/>
      <c r="C133" s="223"/>
      <c r="D133" s="223"/>
      <c r="E133" s="1" t="s">
        <v>546</v>
      </c>
      <c r="F133" s="80">
        <f>VLOOKUP(E133,'Safeguard facility data'!A$4:BN$312,66,0)</f>
        <v>6644571</v>
      </c>
      <c r="G133" s="61"/>
      <c r="H133" s="61"/>
      <c r="I133" s="61"/>
      <c r="J133" s="61"/>
      <c r="K133" s="61"/>
      <c r="L133" s="61"/>
      <c r="M133" s="61"/>
      <c r="N133" s="61"/>
      <c r="O133" s="61"/>
      <c r="P133" s="61"/>
      <c r="Q133" s="61"/>
      <c r="R133" s="61"/>
      <c r="S133" s="61"/>
    </row>
    <row r="134" spans="1:19" ht="14.5">
      <c r="A134" s="221"/>
      <c r="B134" s="223"/>
      <c r="C134" s="223"/>
      <c r="D134" s="223"/>
      <c r="E134" s="1" t="s">
        <v>563</v>
      </c>
      <c r="F134" s="80">
        <f>VLOOKUP(E134,'Safeguard facility data'!A$4:BN$312,66,0)</f>
        <v>1945458</v>
      </c>
      <c r="G134" s="61"/>
      <c r="H134" s="61"/>
      <c r="I134" s="61"/>
      <c r="J134" s="61"/>
      <c r="K134" s="61"/>
      <c r="L134" s="61"/>
      <c r="M134" s="61"/>
      <c r="N134" s="61"/>
      <c r="O134" s="61"/>
      <c r="P134" s="61"/>
      <c r="Q134" s="61"/>
      <c r="R134" s="61"/>
      <c r="S134" s="61"/>
    </row>
    <row r="135" spans="1:19" ht="14.5">
      <c r="A135" s="73" t="s">
        <v>857</v>
      </c>
      <c r="B135" s="61">
        <f>SUM(B33:B129)</f>
        <v>362045877</v>
      </c>
      <c r="D135" s="66"/>
      <c r="F135" s="81"/>
      <c r="G135" s="67"/>
      <c r="H135" s="67"/>
      <c r="I135" s="67"/>
      <c r="J135" s="67"/>
      <c r="K135" s="67"/>
      <c r="L135" s="67"/>
      <c r="M135" s="67"/>
      <c r="N135" s="67"/>
      <c r="O135" s="67"/>
      <c r="P135" s="67"/>
      <c r="Q135" s="67"/>
      <c r="R135" s="67"/>
      <c r="S135" s="67"/>
    </row>
    <row r="136" spans="1:19" ht="43.5">
      <c r="A136" s="75" t="s">
        <v>858</v>
      </c>
      <c r="B136" s="76">
        <f>B135/B1</f>
        <v>0.53108267647623209</v>
      </c>
      <c r="C136" s="82"/>
      <c r="D136" s="83"/>
      <c r="E136" s="82"/>
      <c r="F136" s="84"/>
      <c r="G136" s="67"/>
      <c r="H136" s="67"/>
      <c r="I136" s="67"/>
      <c r="J136" s="67"/>
      <c r="K136" s="67"/>
      <c r="L136" s="67"/>
      <c r="M136" s="67"/>
      <c r="N136" s="67"/>
      <c r="O136" s="67"/>
      <c r="P136" s="67"/>
      <c r="Q136" s="67"/>
      <c r="R136" s="67"/>
      <c r="S136" s="67"/>
    </row>
    <row r="137" spans="1:19" ht="14.5">
      <c r="D137" s="66"/>
      <c r="F137" s="67"/>
      <c r="G137" s="67"/>
      <c r="H137" s="67"/>
      <c r="I137" s="67"/>
      <c r="J137" s="67"/>
      <c r="K137" s="67"/>
      <c r="L137" s="67"/>
      <c r="M137" s="67"/>
      <c r="N137" s="67"/>
      <c r="O137" s="67"/>
      <c r="P137" s="67"/>
      <c r="Q137" s="67"/>
      <c r="R137" s="67"/>
      <c r="S137" s="67"/>
    </row>
  </sheetData>
  <mergeCells count="43">
    <mergeCell ref="A3:C3"/>
    <mergeCell ref="A31:F31"/>
    <mergeCell ref="A33:A52"/>
    <mergeCell ref="B33:B52"/>
    <mergeCell ref="C33:C52"/>
    <mergeCell ref="D33:D52"/>
    <mergeCell ref="A64:A76"/>
    <mergeCell ref="A77:A82"/>
    <mergeCell ref="C59:C63"/>
    <mergeCell ref="D59:D63"/>
    <mergeCell ref="D64:D76"/>
    <mergeCell ref="A53:A58"/>
    <mergeCell ref="D53:D58"/>
    <mergeCell ref="B64:B76"/>
    <mergeCell ref="C64:C76"/>
    <mergeCell ref="B108:B128"/>
    <mergeCell ref="C108:C128"/>
    <mergeCell ref="D108:D128"/>
    <mergeCell ref="A108:A128"/>
    <mergeCell ref="D83:D84"/>
    <mergeCell ref="B53:B58"/>
    <mergeCell ref="C53:C58"/>
    <mergeCell ref="B59:B63"/>
    <mergeCell ref="B77:B82"/>
    <mergeCell ref="C77:C82"/>
    <mergeCell ref="D77:D82"/>
    <mergeCell ref="A59:A63"/>
    <mergeCell ref="A129:A134"/>
    <mergeCell ref="B129:B134"/>
    <mergeCell ref="C129:C134"/>
    <mergeCell ref="D129:D134"/>
    <mergeCell ref="A18:B18"/>
    <mergeCell ref="A103:A107"/>
    <mergeCell ref="B103:B107"/>
    <mergeCell ref="C103:C107"/>
    <mergeCell ref="D103:D107"/>
    <mergeCell ref="A83:A84"/>
    <mergeCell ref="A85:A102"/>
    <mergeCell ref="B85:B102"/>
    <mergeCell ref="C85:C102"/>
    <mergeCell ref="D85:D102"/>
    <mergeCell ref="B83:B84"/>
    <mergeCell ref="C83:C84"/>
  </mergeCells>
  <pageMargins left="0.7" right="0.7" top="0.75" bottom="0.75" header="0.3" footer="0.3"/>
  <pageSetup paperSize="9" orientation="portrait"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outlinePr summaryBelow="0" summaryRight="0"/>
  </sheetPr>
  <dimension ref="A1:N28"/>
  <sheetViews>
    <sheetView zoomScale="85" zoomScaleNormal="85" workbookViewId="0">
      <pane ySplit="1" topLeftCell="A2" activePane="bottomLeft" state="frozen"/>
      <selection pane="bottomLeft" activeCell="F14" sqref="F14"/>
    </sheetView>
  </sheetViews>
  <sheetFormatPr defaultColWidth="14.453125" defaultRowHeight="15" customHeight="1"/>
  <cols>
    <col min="1" max="1" width="25.08984375" customWidth="1"/>
    <col min="2" max="2" width="18.7265625" customWidth="1"/>
  </cols>
  <sheetData>
    <row r="1" spans="1:14" ht="98" customHeight="1">
      <c r="A1" s="85" t="s">
        <v>290</v>
      </c>
      <c r="B1" s="85" t="s">
        <v>892</v>
      </c>
      <c r="C1" s="86" t="s">
        <v>893</v>
      </c>
      <c r="D1" s="85" t="s">
        <v>894</v>
      </c>
      <c r="E1" s="86" t="s">
        <v>895</v>
      </c>
      <c r="F1" s="86" t="s">
        <v>896</v>
      </c>
      <c r="G1" s="86" t="s">
        <v>897</v>
      </c>
      <c r="H1" s="86"/>
      <c r="I1" s="86"/>
      <c r="J1" s="86"/>
      <c r="K1" s="86"/>
      <c r="L1" s="86"/>
      <c r="M1" s="86"/>
      <c r="N1" s="86"/>
    </row>
    <row r="2" spans="1:14" ht="14.5">
      <c r="A2" s="87" t="s">
        <v>361</v>
      </c>
      <c r="B2" s="54" t="s">
        <v>898</v>
      </c>
      <c r="C2" s="54">
        <v>7.4</v>
      </c>
      <c r="D2" s="54"/>
      <c r="E2" s="54" t="e">
        <v>#N/A</v>
      </c>
      <c r="F2" s="87">
        <v>4.5447378751752414E-2</v>
      </c>
      <c r="G2" s="87">
        <f t="shared" ref="G2:G27" si="0">C2*F2</f>
        <v>0.33631060276296787</v>
      </c>
    </row>
    <row r="3" spans="1:14" ht="14.5">
      <c r="A3" s="87" t="s">
        <v>437</v>
      </c>
      <c r="B3" s="54" t="s">
        <v>27</v>
      </c>
      <c r="C3" s="54">
        <v>5</v>
      </c>
      <c r="D3" s="54"/>
      <c r="E3" s="54" t="e">
        <v>#N/A</v>
      </c>
      <c r="F3" s="87">
        <v>4.5447378751752414E-2</v>
      </c>
      <c r="G3" s="87">
        <f t="shared" si="0"/>
        <v>0.22723689375876208</v>
      </c>
    </row>
    <row r="4" spans="1:14" ht="14.5">
      <c r="A4" s="87" t="s">
        <v>460</v>
      </c>
      <c r="B4" s="54" t="s">
        <v>899</v>
      </c>
      <c r="C4" s="54">
        <v>24</v>
      </c>
      <c r="D4" s="54" t="s">
        <v>900</v>
      </c>
      <c r="E4" s="54" t="e">
        <v>#N/A</v>
      </c>
      <c r="F4" s="87">
        <v>4.54473787517524E-2</v>
      </c>
      <c r="G4" s="87">
        <f t="shared" si="0"/>
        <v>1.0907370900420577</v>
      </c>
    </row>
    <row r="5" spans="1:14" ht="14.5">
      <c r="A5" s="87" t="s">
        <v>573</v>
      </c>
      <c r="B5" s="54" t="s">
        <v>57</v>
      </c>
      <c r="C5" s="54">
        <v>10</v>
      </c>
      <c r="D5" s="54"/>
      <c r="E5" s="54" t="e">
        <v>#VALUE!</v>
      </c>
      <c r="F5" s="87">
        <v>4.54473787517524E-2</v>
      </c>
      <c r="G5" s="87">
        <f t="shared" si="0"/>
        <v>0.45447378751752399</v>
      </c>
    </row>
    <row r="6" spans="1:14" ht="14.5">
      <c r="A6" s="87" t="s">
        <v>457</v>
      </c>
      <c r="B6" s="54" t="s">
        <v>27</v>
      </c>
      <c r="C6" s="54">
        <v>7.5</v>
      </c>
      <c r="D6" s="54"/>
      <c r="E6" s="54" t="e">
        <v>#N/A</v>
      </c>
      <c r="F6" s="87">
        <v>4.54473787517524E-2</v>
      </c>
      <c r="G6" s="87">
        <f t="shared" si="0"/>
        <v>0.34085534063814299</v>
      </c>
    </row>
    <row r="7" spans="1:14" ht="14.5">
      <c r="A7" s="87" t="s">
        <v>466</v>
      </c>
      <c r="B7" s="54" t="s">
        <v>27</v>
      </c>
      <c r="C7" s="54">
        <v>6.5</v>
      </c>
      <c r="D7" s="54"/>
      <c r="E7" s="54" t="e">
        <v>#N/A</v>
      </c>
      <c r="F7" s="87">
        <v>4.54473787517524E-2</v>
      </c>
      <c r="G7" s="87">
        <f t="shared" si="0"/>
        <v>0.29540796188639062</v>
      </c>
    </row>
    <row r="8" spans="1:14" ht="14.5">
      <c r="A8" s="87" t="s">
        <v>415</v>
      </c>
      <c r="B8" s="54" t="s">
        <v>49</v>
      </c>
      <c r="C8" s="54">
        <v>1</v>
      </c>
      <c r="D8" s="54"/>
      <c r="E8" s="54" t="e">
        <v>#N/A</v>
      </c>
      <c r="F8" s="87">
        <v>4.54473787517524E-2</v>
      </c>
      <c r="G8" s="87">
        <f t="shared" si="0"/>
        <v>4.54473787517524E-2</v>
      </c>
    </row>
    <row r="9" spans="1:14" ht="14.5">
      <c r="A9" s="87" t="s">
        <v>371</v>
      </c>
      <c r="B9" s="54" t="s">
        <v>49</v>
      </c>
      <c r="C9" s="54">
        <v>1.2</v>
      </c>
      <c r="D9" s="54" t="s">
        <v>901</v>
      </c>
      <c r="E9" s="54" t="e">
        <v>#N/A</v>
      </c>
      <c r="F9" s="87">
        <v>4.54473787517524E-2</v>
      </c>
      <c r="G9" s="87">
        <f t="shared" si="0"/>
        <v>5.4536854502102876E-2</v>
      </c>
    </row>
    <row r="10" spans="1:14" ht="14.5">
      <c r="A10" s="87" t="s">
        <v>458</v>
      </c>
      <c r="B10" s="54" t="s">
        <v>63</v>
      </c>
      <c r="C10" s="54">
        <v>2</v>
      </c>
      <c r="D10" s="54"/>
      <c r="E10" s="54" t="e">
        <v>#VALUE!</v>
      </c>
      <c r="F10" s="87">
        <v>4.54473787517524E-2</v>
      </c>
      <c r="G10" s="87">
        <f t="shared" si="0"/>
        <v>9.08947575035048E-2</v>
      </c>
    </row>
    <row r="11" spans="1:14" ht="14.5">
      <c r="A11" s="87" t="s">
        <v>455</v>
      </c>
      <c r="B11" s="54" t="s">
        <v>63</v>
      </c>
      <c r="C11" s="54">
        <v>5.5</v>
      </c>
      <c r="D11" s="54"/>
      <c r="E11" s="54">
        <v>0.38755757760389359</v>
      </c>
      <c r="F11" s="54">
        <v>0.38755757760389359</v>
      </c>
      <c r="G11" s="87">
        <f t="shared" si="0"/>
        <v>2.1315666768214148</v>
      </c>
    </row>
    <row r="12" spans="1:14" ht="14.5">
      <c r="A12" s="87" t="s">
        <v>436</v>
      </c>
      <c r="B12" s="54" t="s">
        <v>49</v>
      </c>
      <c r="C12" s="54">
        <v>0</v>
      </c>
      <c r="D12" s="54"/>
      <c r="E12" s="54">
        <v>0.3019205226215087</v>
      </c>
      <c r="F12" s="54">
        <v>0.3019205226215087</v>
      </c>
      <c r="G12" s="87">
        <f t="shared" si="0"/>
        <v>0</v>
      </c>
    </row>
    <row r="13" spans="1:14" ht="14.5">
      <c r="A13" s="87" t="s">
        <v>546</v>
      </c>
      <c r="B13" s="54" t="s">
        <v>49</v>
      </c>
      <c r="C13" s="54">
        <v>3.5</v>
      </c>
      <c r="D13" s="54"/>
      <c r="E13" s="54">
        <v>0.57218424118114664</v>
      </c>
      <c r="F13" s="54">
        <v>0.57218424118114664</v>
      </c>
      <c r="G13" s="87">
        <f t="shared" si="0"/>
        <v>2.0026448441340134</v>
      </c>
    </row>
    <row r="14" spans="1:14" ht="14.5">
      <c r="A14" s="87" t="s">
        <v>405</v>
      </c>
      <c r="B14" s="54" t="s">
        <v>63</v>
      </c>
      <c r="C14" s="54">
        <v>6</v>
      </c>
      <c r="D14" s="54"/>
      <c r="E14" s="54">
        <v>2.6366646149114588</v>
      </c>
      <c r="F14" s="87">
        <v>4.54473787517524E-2</v>
      </c>
      <c r="G14" s="87">
        <f t="shared" si="0"/>
        <v>0.27268427251051441</v>
      </c>
    </row>
    <row r="15" spans="1:14" ht="14.5">
      <c r="A15" s="87" t="s">
        <v>411</v>
      </c>
      <c r="B15" s="54" t="s">
        <v>899</v>
      </c>
      <c r="C15" s="54">
        <v>42</v>
      </c>
      <c r="D15" s="54" t="s">
        <v>902</v>
      </c>
      <c r="E15" s="54">
        <v>3.2609502521624811E-2</v>
      </c>
      <c r="F15" s="54">
        <v>3.2609502521624811E-2</v>
      </c>
      <c r="G15" s="87">
        <f t="shared" si="0"/>
        <v>1.3695991059082422</v>
      </c>
    </row>
    <row r="16" spans="1:14" ht="14.5">
      <c r="A16" s="87" t="s">
        <v>338</v>
      </c>
      <c r="B16" s="54" t="s">
        <v>898</v>
      </c>
      <c r="C16" s="54">
        <v>15</v>
      </c>
      <c r="D16" s="54"/>
      <c r="E16" s="54">
        <v>6.6032159029542029E-2</v>
      </c>
      <c r="F16" s="54">
        <v>6.6032159029542029E-2</v>
      </c>
      <c r="G16" s="87">
        <f t="shared" si="0"/>
        <v>0.99048238544313039</v>
      </c>
    </row>
    <row r="17" spans="1:14" ht="14.5">
      <c r="A17" s="87" t="s">
        <v>413</v>
      </c>
      <c r="B17" s="54" t="s">
        <v>903</v>
      </c>
      <c r="C17" s="54">
        <v>16</v>
      </c>
      <c r="D17" s="54"/>
      <c r="E17" s="54">
        <v>2.2518512313435636E-2</v>
      </c>
      <c r="F17" s="54">
        <v>2.2518512313435636E-2</v>
      </c>
      <c r="G17" s="87">
        <f t="shared" si="0"/>
        <v>0.36029619701497018</v>
      </c>
    </row>
    <row r="18" spans="1:14" ht="14.5">
      <c r="A18" s="87" t="s">
        <v>465</v>
      </c>
      <c r="B18" s="54" t="s">
        <v>63</v>
      </c>
      <c r="C18" s="54">
        <v>9</v>
      </c>
      <c r="D18" s="54"/>
      <c r="E18" s="54">
        <v>7.3886613203553858E-2</v>
      </c>
      <c r="F18" s="54">
        <v>7.3886613203553858E-2</v>
      </c>
      <c r="G18" s="87">
        <f t="shared" si="0"/>
        <v>0.6649795188319847</v>
      </c>
    </row>
    <row r="19" spans="1:14" ht="14.5">
      <c r="A19" s="87" t="s">
        <v>335</v>
      </c>
      <c r="B19" s="54" t="s">
        <v>27</v>
      </c>
      <c r="C19" s="54">
        <v>3.1</v>
      </c>
      <c r="D19" s="54"/>
      <c r="E19" s="54">
        <v>0.13675793320809509</v>
      </c>
      <c r="F19" s="54">
        <v>0.13675793320809509</v>
      </c>
      <c r="G19" s="87">
        <f t="shared" si="0"/>
        <v>0.42394959294509482</v>
      </c>
    </row>
    <row r="20" spans="1:14" ht="14.5">
      <c r="A20" s="87" t="s">
        <v>541</v>
      </c>
      <c r="B20" s="54" t="s">
        <v>903</v>
      </c>
      <c r="C20" s="54">
        <v>7</v>
      </c>
      <c r="D20" s="54"/>
      <c r="E20" s="54">
        <v>4.121332425456075E-2</v>
      </c>
      <c r="F20" s="54">
        <v>4.121332425456075E-2</v>
      </c>
      <c r="G20" s="87">
        <f t="shared" si="0"/>
        <v>0.28849326978192524</v>
      </c>
    </row>
    <row r="21" spans="1:14" ht="14.5">
      <c r="A21" s="87" t="s">
        <v>344</v>
      </c>
      <c r="B21" s="54" t="s">
        <v>898</v>
      </c>
      <c r="C21" s="54">
        <v>2</v>
      </c>
      <c r="D21" s="54"/>
      <c r="E21" s="54" t="e">
        <v>#VALUE!</v>
      </c>
      <c r="F21" s="87">
        <v>4.54473787517524E-2</v>
      </c>
      <c r="G21" s="87">
        <f t="shared" si="0"/>
        <v>9.08947575035048E-2</v>
      </c>
    </row>
    <row r="22" spans="1:14" ht="14.5">
      <c r="A22" s="87" t="s">
        <v>427</v>
      </c>
      <c r="B22" s="54" t="s">
        <v>903</v>
      </c>
      <c r="C22" s="54">
        <v>5.5</v>
      </c>
      <c r="D22" s="54"/>
      <c r="E22" s="54" t="e">
        <v>#VALUE!</v>
      </c>
      <c r="F22" s="87">
        <v>4.54473787517524E-2</v>
      </c>
      <c r="G22" s="87">
        <f t="shared" si="0"/>
        <v>0.2499605831346382</v>
      </c>
    </row>
    <row r="23" spans="1:14" ht="14.5">
      <c r="A23" s="87" t="s">
        <v>302</v>
      </c>
      <c r="B23" s="54" t="s">
        <v>904</v>
      </c>
      <c r="C23" s="54">
        <v>1.3</v>
      </c>
      <c r="D23" s="54" t="s">
        <v>905</v>
      </c>
      <c r="E23" s="54">
        <v>0.11613442722130522</v>
      </c>
      <c r="F23" s="54">
        <v>0.11613442722130522</v>
      </c>
      <c r="G23" s="87">
        <f t="shared" si="0"/>
        <v>0.15097475538769681</v>
      </c>
    </row>
    <row r="24" spans="1:14" ht="14.5">
      <c r="A24" s="87" t="s">
        <v>327</v>
      </c>
      <c r="B24" s="54" t="s">
        <v>27</v>
      </c>
      <c r="C24" s="54">
        <v>6.6</v>
      </c>
      <c r="D24" s="54"/>
      <c r="E24" s="54" t="e">
        <v>#VALUE!</v>
      </c>
      <c r="F24" s="87">
        <v>4.54473787517524E-2</v>
      </c>
      <c r="G24" s="87">
        <f t="shared" si="0"/>
        <v>0.2999526997615658</v>
      </c>
    </row>
    <row r="25" spans="1:14" ht="14.5">
      <c r="A25" s="87" t="s">
        <v>323</v>
      </c>
      <c r="B25" s="54" t="s">
        <v>903</v>
      </c>
      <c r="C25" s="54">
        <v>8.6</v>
      </c>
      <c r="D25" s="54"/>
      <c r="E25" s="54">
        <v>2.4486737597217471E-2</v>
      </c>
      <c r="F25" s="54">
        <v>2.4486737597217471E-2</v>
      </c>
      <c r="G25" s="87">
        <f t="shared" si="0"/>
        <v>0.21058594333607025</v>
      </c>
    </row>
    <row r="26" spans="1:14" ht="14.5">
      <c r="A26" s="87" t="s">
        <v>536</v>
      </c>
      <c r="B26" s="54" t="s">
        <v>63</v>
      </c>
      <c r="C26" s="54">
        <v>5</v>
      </c>
      <c r="D26" s="54"/>
      <c r="E26" s="54" t="e">
        <v>#VALUE!</v>
      </c>
      <c r="F26" s="87">
        <v>4.54473787517524E-2</v>
      </c>
      <c r="G26" s="87">
        <f t="shared" si="0"/>
        <v>0.22723689375876199</v>
      </c>
    </row>
    <row r="27" spans="1:14" ht="14.5">
      <c r="A27" s="87" t="s">
        <v>473</v>
      </c>
      <c r="B27" s="54" t="s">
        <v>903</v>
      </c>
      <c r="C27" s="54">
        <v>3.2</v>
      </c>
      <c r="D27" s="54"/>
      <c r="E27" s="54" t="e">
        <v>#DIV/0!</v>
      </c>
      <c r="F27" s="87">
        <v>4.54473787517524E-2</v>
      </c>
      <c r="G27" s="87">
        <f t="shared" si="0"/>
        <v>0.1454316120056077</v>
      </c>
    </row>
    <row r="28" spans="1:14" ht="14.5">
      <c r="B28" s="88" t="s">
        <v>906</v>
      </c>
      <c r="C28" s="89">
        <f>SUM(C2:C27)</f>
        <v>203.89999999999998</v>
      </c>
      <c r="D28" s="90"/>
      <c r="E28" s="1"/>
      <c r="F28" s="88" t="s">
        <v>906</v>
      </c>
      <c r="G28" s="89">
        <f>SUMIF(G2:G27,"&lt;100",G2:G27)</f>
        <v>12.81563377564234</v>
      </c>
      <c r="H28" s="54"/>
      <c r="I28" s="54"/>
      <c r="J28" s="54"/>
      <c r="K28" s="54"/>
      <c r="L28" s="54"/>
      <c r="M28" s="54"/>
      <c r="N28" s="54"/>
    </row>
  </sheetData>
  <pageMargins left="0.7" right="0.7" top="0.75" bottom="0.75" header="0.3" footer="0.3"/>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outlinePr summaryBelow="0" summaryRight="0"/>
  </sheetPr>
  <dimension ref="A1:Q187"/>
  <sheetViews>
    <sheetView zoomScaleNormal="100" workbookViewId="0">
      <pane ySplit="8" topLeftCell="A9" activePane="bottomLeft" state="frozen"/>
      <selection pane="bottomLeft" activeCell="G3" sqref="G3"/>
    </sheetView>
  </sheetViews>
  <sheetFormatPr defaultColWidth="14.453125" defaultRowHeight="15" customHeight="1"/>
  <cols>
    <col min="1" max="1" width="29.08984375" customWidth="1"/>
  </cols>
  <sheetData>
    <row r="1" spans="1:17" ht="14.5">
      <c r="A1" s="51" t="s">
        <v>907</v>
      </c>
      <c r="B1" s="54"/>
      <c r="C1" s="54"/>
      <c r="D1" s="54"/>
      <c r="E1" s="54"/>
      <c r="F1" s="54"/>
      <c r="G1" s="1"/>
      <c r="H1" s="54"/>
      <c r="I1" s="54"/>
      <c r="J1" s="54"/>
      <c r="K1" s="54"/>
      <c r="L1" s="54"/>
      <c r="M1" s="54"/>
      <c r="N1" s="54"/>
      <c r="O1" s="54"/>
      <c r="P1" s="54"/>
      <c r="Q1" s="54"/>
    </row>
    <row r="2" spans="1:17" s="175" customFormat="1" ht="83" customHeight="1">
      <c r="A2" s="86" t="s">
        <v>908</v>
      </c>
      <c r="B2" s="86" t="s">
        <v>603</v>
      </c>
      <c r="C2" s="86" t="s">
        <v>604</v>
      </c>
      <c r="D2" s="86" t="s">
        <v>605</v>
      </c>
      <c r="E2" s="86" t="s">
        <v>606</v>
      </c>
      <c r="F2" s="86" t="s">
        <v>607</v>
      </c>
      <c r="G2" s="86" t="s">
        <v>909</v>
      </c>
      <c r="H2" s="86" t="s">
        <v>910</v>
      </c>
      <c r="I2" s="86"/>
      <c r="J2" s="176"/>
      <c r="K2" s="86"/>
      <c r="L2" s="86"/>
      <c r="M2" s="86"/>
      <c r="N2" s="86"/>
      <c r="O2" s="86"/>
      <c r="P2" s="86"/>
      <c r="Q2" s="86"/>
    </row>
    <row r="3" spans="1:17" ht="14.5">
      <c r="A3" s="51" t="s">
        <v>911</v>
      </c>
      <c r="B3" s="61">
        <f t="shared" ref="B3:G3" si="0">SUM(B9:B187)</f>
        <v>126867280</v>
      </c>
      <c r="C3" s="61">
        <f t="shared" si="0"/>
        <v>135566087</v>
      </c>
      <c r="D3" s="61">
        <f t="shared" si="0"/>
        <v>141751094</v>
      </c>
      <c r="E3" s="61">
        <f t="shared" si="0"/>
        <v>141256429</v>
      </c>
      <c r="F3" s="61">
        <f t="shared" si="0"/>
        <v>136271945</v>
      </c>
      <c r="G3" s="61">
        <f t="shared" si="0"/>
        <v>681712835</v>
      </c>
      <c r="H3" s="91">
        <f t="shared" ref="H3:H6" si="1">G3/$G$3</f>
        <v>1</v>
      </c>
      <c r="I3" s="91"/>
      <c r="J3" s="219"/>
      <c r="K3" s="61"/>
      <c r="L3" s="91"/>
      <c r="M3" s="91"/>
      <c r="N3" s="91"/>
      <c r="O3" s="91"/>
      <c r="P3" s="91"/>
      <c r="Q3" s="91"/>
    </row>
    <row r="4" spans="1:17" ht="14.5">
      <c r="A4" s="51" t="s">
        <v>912</v>
      </c>
      <c r="B4" s="61">
        <f>(SUMIFS('Safeguard facility data'!BI$4:BI$312,'Safeguard facility data'!$Q$4:$Q$312,"Coal Mining",'Safeguard facility data'!BI$4:BI$312,"&gt;0"))+(SUMIFS('Safeguard facility data'!BI$4:BI$312,'Safeguard facility data'!$Q$4:$Q$312,"Oil and Gas Extraction",'Safeguard facility data'!BI$4:BI$312,"&gt;0"))+(SUMIFS('Safeguard facility data'!BI$4:BI$312,'Safeguard facility data'!$Q$4:$Q$312,"Gas Supply",'Safeguard facility data'!BI$4:BI$312,"&gt;0"))+(SUMIFS('Safeguard facility data'!BI$4:BI$312,'Safeguard facility data'!$Q$4:$Q$312,"Petroleum Refining and Petroleum Fuel Manufacturing",'Safeguard facility data'!BI$4:BI$312,"&gt;0"))</f>
        <v>70000840</v>
      </c>
      <c r="C4" s="61">
        <f>(SUMIFS('Safeguard facility data'!BJ$4:BJ$312,'Safeguard facility data'!$Q$4:$Q$312,"Coal Mining",'Safeguard facility data'!BJ$4:BJ$312,"&gt;0"))+(SUMIFS('Safeguard facility data'!BJ$4:BJ$312,'Safeguard facility data'!$Q$4:$Q$312,"Oil and Gas Extraction",'Safeguard facility data'!BJ$4:BJ$312,"&gt;0"))+(SUMIFS('Safeguard facility data'!BJ$4:BJ$312,'Safeguard facility data'!$Q$4:$Q$312,"Gas Supply",'Safeguard facility data'!BJ$4:BJ$312,"&gt;0"))+(SUMIFS('Safeguard facility data'!BJ$4:BJ$312,'Safeguard facility data'!$Q$4:$Q$312,"Petroleum Refining and Petroleum Fuel Manufacturing",'Safeguard facility data'!BJ$4:BJ$312,"&gt;0"))</f>
        <v>76024071</v>
      </c>
      <c r="D4" s="61">
        <f>(SUMIFS('Safeguard facility data'!BK$4:BK$312,'Safeguard facility data'!$Q$4:$Q$312,"Coal Mining",'Safeguard facility data'!BK$4:BK$312,"&gt;0"))+(SUMIFS('Safeguard facility data'!BK$4:BK$312,'Safeguard facility data'!$Q$4:$Q$312,"Oil and Gas Extraction",'Safeguard facility data'!BK$4:BK$312,"&gt;0"))+(SUMIFS('Safeguard facility data'!BK$4:BK$312,'Safeguard facility data'!$Q$4:$Q$312,"Gas Supply",'Safeguard facility data'!BK$4:BK$312,"&gt;0"))+(SUMIFS('Safeguard facility data'!BK$4:BK$312,'Safeguard facility data'!$Q$4:$Q$312,"Petroleum Refining and Petroleum Fuel Manufacturing",'Safeguard facility data'!BK$4:BK$312,"&gt;0"))</f>
        <v>82100020</v>
      </c>
      <c r="E4" s="61">
        <f>(SUMIFS('Safeguard facility data'!BL$4:BL$312,'Safeguard facility data'!$Q$4:$Q$312,"Coal Mining",'Safeguard facility data'!BL$4:BL$312,"&gt;0"))+(SUMIFS('Safeguard facility data'!BL$4:BL$312,'Safeguard facility data'!$Q$4:$Q$312,"Oil and Gas Extraction",'Safeguard facility data'!BL$4:BL$312,"&gt;0"))+(SUMIFS('Safeguard facility data'!BL$4:BL$312,'Safeguard facility data'!$Q$4:$Q$312,"Gas Supply",'Safeguard facility data'!BL$4:BL$312,"&gt;0"))+(SUMIFS('Safeguard facility data'!BL$4:BL$312,'Safeguard facility data'!$Q$4:$Q$312,"Petroleum Refining and Petroleum Fuel Manufacturing",'Safeguard facility data'!BL$4:BL$312,"&gt;0"))</f>
        <v>81691192</v>
      </c>
      <c r="F4" s="61">
        <f>(SUMIFS('Safeguard facility data'!BM$4:BM$312,'Safeguard facility data'!$Q$4:$Q$312,"Coal Mining",'Safeguard facility data'!BM$4:BM$312,"&gt;0"))+(SUMIFS('Safeguard facility data'!BM$4:BM$312,'Safeguard facility data'!$Q$4:$Q$312,"Oil and Gas Extraction",'Safeguard facility data'!BM$4:BM$312,"&gt;0"))+(SUMIFS('Safeguard facility data'!BM$4:BM$312,'Safeguard facility data'!$Q$4:$Q$312,"Gas Supply",'Safeguard facility data'!BM$4:BM$312,"&gt;0"))+(SUMIFS('Safeguard facility data'!BM$4:BM$312,'Safeguard facility data'!$Q$4:$Q$312,"Petroleum Refining and Petroleum Fuel Manufacturing",'Safeguard facility data'!BM$4:BM$312,"&gt;0"))</f>
        <v>77608167</v>
      </c>
      <c r="G4" s="61">
        <f>SUM(B4:F4)</f>
        <v>387424290</v>
      </c>
      <c r="H4" s="91">
        <f t="shared" si="1"/>
        <v>0.56831010083593336</v>
      </c>
      <c r="I4" s="91"/>
      <c r="J4" s="218"/>
      <c r="K4" s="91"/>
      <c r="L4" s="91"/>
      <c r="M4" s="91"/>
      <c r="N4" s="91"/>
      <c r="O4" s="91"/>
      <c r="P4" s="91"/>
      <c r="Q4" s="91"/>
    </row>
    <row r="5" spans="1:17" ht="14.5">
      <c r="A5" s="121" t="s">
        <v>913</v>
      </c>
      <c r="B5" s="61">
        <f t="shared" ref="B5:F5" si="2">B3-B4</f>
        <v>56866440</v>
      </c>
      <c r="C5" s="61">
        <f t="shared" si="2"/>
        <v>59542016</v>
      </c>
      <c r="D5" s="61">
        <f t="shared" si="2"/>
        <v>59651074</v>
      </c>
      <c r="E5" s="61">
        <f t="shared" si="2"/>
        <v>59565237</v>
      </c>
      <c r="F5" s="61">
        <f t="shared" si="2"/>
        <v>58663778</v>
      </c>
      <c r="G5" s="61">
        <f>SUM(B5:F5)</f>
        <v>294288545</v>
      </c>
      <c r="H5" s="91">
        <f t="shared" si="1"/>
        <v>0.43168989916406664</v>
      </c>
      <c r="I5" s="91"/>
      <c r="J5" s="91"/>
      <c r="K5" s="91"/>
      <c r="L5" s="91"/>
      <c r="M5" s="91"/>
      <c r="N5" s="91"/>
      <c r="O5" s="91"/>
      <c r="P5" s="91"/>
      <c r="Q5" s="91"/>
    </row>
    <row r="6" spans="1:17" ht="14.5">
      <c r="A6" s="51" t="s">
        <v>914</v>
      </c>
      <c r="B6" s="61">
        <f>(SUMIFS('Safeguard facility data'!BI$4:BI$312,'Safeguard facility data'!$Q$4:$Q$312,"Coal Mining",'Safeguard facility data'!BI$4:BI$312,"&gt;0"))+(SUMIFS('Safeguard facility data'!BI$4:BI$312,'Safeguard facility data'!$Q$4:$Q$312,"Oil and Gas Extraction",'Safeguard facility data'!BI$4:BI$312,"&gt;0"))</f>
        <v>65015180</v>
      </c>
      <c r="C6" s="61">
        <f>(SUMIFS('Safeguard facility data'!BJ$4:BJ$312,'Safeguard facility data'!$Q$4:$Q$312,"Coal Mining",'Safeguard facility data'!BJ$4:BJ$312,"&gt;0"))+(SUMIFS('Safeguard facility data'!BJ$4:BJ$312,'Safeguard facility data'!$Q$4:$Q$312,"Oil and Gas Extraction",'Safeguard facility data'!BJ$4:BJ$312,"&gt;0"))</f>
        <v>71096899</v>
      </c>
      <c r="D6" s="61">
        <f>(SUMIFS('Safeguard facility data'!BK$4:BK$312,'Safeguard facility data'!$Q$4:$Q$312,"Coal Mining",'Safeguard facility data'!BK$4:BK$312,"&gt;0"))+(SUMIFS('Safeguard facility data'!BK$4:BK$312,'Safeguard facility data'!$Q$4:$Q$312,"Oil and Gas Extraction",'Safeguard facility data'!BK$4:BK$312,"&gt;0"))</f>
        <v>77266497</v>
      </c>
      <c r="E6" s="61">
        <f>(SUMIFS('Safeguard facility data'!BL$4:BL$312,'Safeguard facility data'!$Q$4:$Q$312,"Coal Mining",'Safeguard facility data'!BL$4:BL$312,"&gt;0"))+(SUMIFS('Safeguard facility data'!BL$4:BL$312,'Safeguard facility data'!$Q$4:$Q$312,"Oil and Gas Extraction",'Safeguard facility data'!BL$4:BL$312,"&gt;0"))</f>
        <v>76958970</v>
      </c>
      <c r="F6" s="61">
        <f>(SUMIFS('Safeguard facility data'!BM$4:BM$312,'Safeguard facility data'!$Q$4:$Q$312,"Coal Mining",'Safeguard facility data'!BM$4:BM$312,"&gt;0"))+(SUMIFS('Safeguard facility data'!BM$4:BM$312,'Safeguard facility data'!$Q$4:$Q$312,"Oil and Gas Extraction",'Safeguard facility data'!BM$4:BM$312,"&gt;0"))</f>
        <v>73257386</v>
      </c>
      <c r="G6" s="61">
        <f>SUM(B6:F6)</f>
        <v>363594932</v>
      </c>
      <c r="H6" s="91">
        <f t="shared" si="1"/>
        <v>0.53335497489936512</v>
      </c>
      <c r="I6" s="91"/>
      <c r="J6" s="91"/>
      <c r="K6" s="91"/>
      <c r="L6" s="91"/>
      <c r="M6" s="91"/>
      <c r="N6" s="91"/>
      <c r="O6" s="91"/>
      <c r="P6" s="91"/>
      <c r="Q6" s="91"/>
    </row>
    <row r="7" spans="1:17" s="215" customFormat="1" ht="14.5">
      <c r="A7" s="51" t="s">
        <v>926</v>
      </c>
      <c r="B7" s="61">
        <f>(SUMIFS('Safeguard facility data'!BI$4:BI$312,'Safeguard facility data'!$Q$4:$Q$312,"Alumina Production",'Safeguard facility data'!BI$4:BI$312,"&gt;0"))+(SUMIFS('Safeguard facility data'!BI$4:BI$312,'Safeguard facility data'!$Q$4:$Q$312,"Aluminium Smelting",'Safeguard facility data'!BI$4:BI$312,"&gt;0"))+(SUMIFS('Safeguard facility data'!BI$4:BI$312,'Safeguard facility data'!$Q$4:$Q$312,"Bauxite Mining",'Safeguard facility data'!BI$4:BI$312,"&gt;0"))+(SUMIFS('Safeguard facility data'!BI$4:BI$312,'Safeguard facility data'!$Q$4:$Q$312,"Aluminium Rolling, Drawing, Extruding",'Safeguard facility data'!BI$4:BI$312,"&gt;0"))</f>
        <v>16587021</v>
      </c>
      <c r="C7" s="61">
        <f>(SUMIFS('Safeguard facility data'!BJ$4:BJ$312,'Safeguard facility data'!$Q$4:$Q$312,"Alumina Production",'Safeguard facility data'!BJ$4:BJ$312,"&gt;0"))+(SUMIFS('Safeguard facility data'!BJ$4:BJ$312,'Safeguard facility data'!$Q$4:$Q$312,"Aluminium Smelting",'Safeguard facility data'!BJ$4:BJ$312,"&gt;0"))+(SUMIFS('Safeguard facility data'!BJ$4:BJ$312,'Safeguard facility data'!$Q$4:$Q$312,"Bauxite Mining",'Safeguard facility data'!BJ$4:BJ$312,"&gt;0"))+(SUMIFS('Safeguard facility data'!BJ$4:BJ$312,'Safeguard facility data'!$Q$4:$Q$312,"Aluminium Rolling, Drawing, Extruding",'Safeguard facility data'!BJ$4:BJ$312,"&gt;0"))</f>
        <v>16771062</v>
      </c>
      <c r="D7" s="61">
        <f>(SUMIFS('Safeguard facility data'!BK$4:BK$312,'Safeguard facility data'!$Q$4:$Q$312,"Alumina Production",'Safeguard facility data'!BK$4:BK$312,"&gt;0"))+(SUMIFS('Safeguard facility data'!BK$4:BK$312,'Safeguard facility data'!$Q$4:$Q$312,"Aluminium Smelting",'Safeguard facility data'!BK$4:BK$312,"&gt;0"))+(SUMIFS('Safeguard facility data'!BK$4:BK$312,'Safeguard facility data'!$Q$4:$Q$312,"Bauxite Mining",'Safeguard facility data'!BK$4:BK$312,"&gt;0"))+(SUMIFS('Safeguard facility data'!BK$4:BK$312,'Safeguard facility data'!$Q$4:$Q$312,"Aluminium Rolling, Drawing, Extruding",'Safeguard facility data'!BK$4:BK$312,"&gt;0"))</f>
        <v>16483128</v>
      </c>
      <c r="E7" s="61">
        <f>(SUMIFS('Safeguard facility data'!BL$4:BL$312,'Safeguard facility data'!$Q$4:$Q$312,"Alumina Production",'Safeguard facility data'!BL$4:BL$312,"&gt;0"))+(SUMIFS('Safeguard facility data'!BL$4:BL$312,'Safeguard facility data'!$Q$4:$Q$312,"Aluminium Smelting",'Safeguard facility data'!BL$4:BL$312,"&gt;0"))+(SUMIFS('Safeguard facility data'!BL$4:BL$312,'Safeguard facility data'!$Q$4:$Q$312,"Bauxite Mining",'Safeguard facility data'!BL$4:BL$312,"&gt;0"))+(SUMIFS('Safeguard facility data'!BL$4:BL$312,'Safeguard facility data'!$Q$4:$Q$312,"Aluminium Rolling, Drawing, Extruding",'Safeguard facility data'!BL$4:BL$312,"&gt;0"))</f>
        <v>16691058</v>
      </c>
      <c r="F7" s="61">
        <f>(SUMIFS('Safeguard facility data'!BM$4:BM$312,'Safeguard facility data'!$Q$4:$Q$312,"Alumina Production",'Safeguard facility data'!BM$4:BM$312,"&gt;0"))+(SUMIFS('Safeguard facility data'!BM$4:BM$312,'Safeguard facility data'!$Q$4:$Q$312,"Aluminium Smelting",'Safeguard facility data'!BM$4:BM$312,"&gt;0"))+(SUMIFS('Safeguard facility data'!BM$4:BM$312,'Safeguard facility data'!$Q$4:$Q$312,"Bauxite Mining",'Safeguard facility data'!BM$4:BM$312,"&gt;0"))+(SUMIFS('Safeguard facility data'!BM$4:BM$312,'Safeguard facility data'!$Q$4:$Q$312,"Aluminium Rolling, Drawing, Extruding",'Safeguard facility data'!BM$4:BM$312,"&gt;0"))</f>
        <v>16863458</v>
      </c>
      <c r="G7" s="61">
        <f>SUM(B7:F7)</f>
        <v>83395727</v>
      </c>
      <c r="H7" s="91">
        <f t="shared" ref="H7" si="3">G7/$G$3</f>
        <v>0.12233263438556206</v>
      </c>
      <c r="I7" s="91"/>
      <c r="J7" s="91"/>
      <c r="K7" s="91"/>
      <c r="L7" s="91"/>
      <c r="M7" s="91"/>
      <c r="N7" s="91"/>
      <c r="O7" s="91"/>
      <c r="P7" s="91"/>
      <c r="Q7" s="91"/>
    </row>
    <row r="8" spans="1:17" ht="14.5">
      <c r="A8" s="51" t="s">
        <v>915</v>
      </c>
      <c r="B8" s="61" t="s">
        <v>916</v>
      </c>
      <c r="C8" s="61">
        <v>23718047</v>
      </c>
      <c r="D8" s="61">
        <v>24482137</v>
      </c>
      <c r="E8" s="61" t="s">
        <v>916</v>
      </c>
      <c r="F8" s="61" t="s">
        <v>916</v>
      </c>
      <c r="G8" s="61" t="s">
        <v>70</v>
      </c>
      <c r="H8" s="1" t="s">
        <v>917</v>
      </c>
      <c r="I8" s="1"/>
      <c r="J8" s="1"/>
      <c r="K8" s="1"/>
      <c r="L8" s="1"/>
      <c r="M8" s="1"/>
      <c r="N8" s="1"/>
      <c r="O8" s="1"/>
      <c r="P8" s="1"/>
      <c r="Q8" s="1"/>
    </row>
    <row r="9" spans="1:17" ht="14.5">
      <c r="A9" s="54" t="s">
        <v>121</v>
      </c>
      <c r="B9" s="67">
        <f>SUMIFS('Safeguard facility data'!BI$4:BI$312,'Safeguard facility data'!$Q$4:$Q$312,$A9,'Safeguard facility data'!BI$4:BI$312,"&gt;0")</f>
        <v>33926949</v>
      </c>
      <c r="C9" s="67">
        <f>SUMIFS('Safeguard facility data'!BJ$4:BJ$312,'Safeguard facility data'!$Q$4:$Q$312,$A9,'Safeguard facility data'!BJ$4:BJ$312,"&gt;0")</f>
        <v>38218720</v>
      </c>
      <c r="D9" s="67">
        <f>SUMIFS('Safeguard facility data'!BK$4:BK$312,'Safeguard facility data'!$Q$4:$Q$312,$A9,'Safeguard facility data'!BK$4:BK$312,"&gt;0")</f>
        <v>46082666</v>
      </c>
      <c r="E9" s="67">
        <f>SUMIFS('Safeguard facility data'!BL$4:BL$312,'Safeguard facility data'!$Q$4:$Q$312,$A9,'Safeguard facility data'!BL$4:BL$312,"&gt;0")</f>
        <v>43214924</v>
      </c>
      <c r="F9" s="67">
        <f>SUMIFS('Safeguard facility data'!BM$4:BM$312,'Safeguard facility data'!$Q$4:$Q$312,$A9,'Safeguard facility data'!BM$4:BM$312,"&gt;0")</f>
        <v>40732250</v>
      </c>
      <c r="G9" s="61">
        <f t="shared" ref="G9:G40" si="4">SUM(B9:F9)</f>
        <v>202175509</v>
      </c>
      <c r="H9" s="91">
        <f t="shared" ref="H9:H40" si="5">G9/$G$3</f>
        <v>0.29656990248687337</v>
      </c>
      <c r="I9" s="91"/>
      <c r="J9" s="91"/>
      <c r="K9" s="91"/>
      <c r="L9" s="91"/>
      <c r="M9" s="91"/>
      <c r="N9" s="91"/>
      <c r="O9" s="91"/>
      <c r="P9" s="91"/>
      <c r="Q9" s="91"/>
    </row>
    <row r="10" spans="1:17" ht="14.5">
      <c r="A10" s="54" t="s">
        <v>29</v>
      </c>
      <c r="B10" s="67">
        <f>SUMIFS('Safeguard facility data'!BI$4:BI$312,'Safeguard facility data'!$Q$4:$Q$312,$A10,'Safeguard facility data'!BI$4:BI$312,"&gt;0")</f>
        <v>31088231</v>
      </c>
      <c r="C10" s="67">
        <f>SUMIFS('Safeguard facility data'!BJ$4:BJ$312,'Safeguard facility data'!$Q$4:$Q$312,$A10,'Safeguard facility data'!BJ$4:BJ$312,"&gt;0")</f>
        <v>32878179</v>
      </c>
      <c r="D10" s="67">
        <f>SUMIFS('Safeguard facility data'!BK$4:BK$312,'Safeguard facility data'!$Q$4:$Q$312,$A10,'Safeguard facility data'!BK$4:BK$312,"&gt;0")</f>
        <v>31183831</v>
      </c>
      <c r="E10" s="67">
        <f>SUMIFS('Safeguard facility data'!BL$4:BL$312,'Safeguard facility data'!$Q$4:$Q$312,$A10,'Safeguard facility data'!BL$4:BL$312,"&gt;0")</f>
        <v>33744046</v>
      </c>
      <c r="F10" s="67">
        <f>SUMIFS('Safeguard facility data'!BM$4:BM$312,'Safeguard facility data'!$Q$4:$Q$312,$A10,'Safeguard facility data'!BM$4:BM$312,"&gt;0")</f>
        <v>32525136</v>
      </c>
      <c r="G10" s="61">
        <f t="shared" si="4"/>
        <v>161419423</v>
      </c>
      <c r="H10" s="91">
        <f t="shared" si="5"/>
        <v>0.23678507241249169</v>
      </c>
      <c r="I10" s="91"/>
      <c r="J10" s="91"/>
      <c r="K10" s="91"/>
      <c r="L10" s="91"/>
      <c r="M10" s="91"/>
      <c r="N10" s="91"/>
      <c r="O10" s="91"/>
      <c r="P10" s="91"/>
      <c r="Q10" s="91"/>
    </row>
    <row r="11" spans="1:17" ht="14.5">
      <c r="A11" s="54" t="s">
        <v>16</v>
      </c>
      <c r="B11" s="67">
        <f>SUMIFS('Safeguard facility data'!BI$4:BI$312,'Safeguard facility data'!$Q$4:$Q$312,$A11,'Safeguard facility data'!BI$4:BI$312,"&gt;0")</f>
        <v>13360550</v>
      </c>
      <c r="C11" s="67">
        <f>SUMIFS('Safeguard facility data'!BJ$4:BJ$312,'Safeguard facility data'!$Q$4:$Q$312,$A11,'Safeguard facility data'!BJ$4:BJ$312,"&gt;0")</f>
        <v>13373915</v>
      </c>
      <c r="D11" s="67">
        <f>SUMIFS('Safeguard facility data'!BK$4:BK$312,'Safeguard facility data'!$Q$4:$Q$312,$A11,'Safeguard facility data'!BK$4:BK$312,"&gt;0")</f>
        <v>13078959</v>
      </c>
      <c r="E11" s="67">
        <f>SUMIFS('Safeguard facility data'!BL$4:BL$312,'Safeguard facility data'!$Q$4:$Q$312,$A11,'Safeguard facility data'!BL$4:BL$312,"&gt;0")</f>
        <v>13226998</v>
      </c>
      <c r="F11" s="67">
        <f>SUMIFS('Safeguard facility data'!BM$4:BM$312,'Safeguard facility data'!$Q$4:$Q$312,$A11,'Safeguard facility data'!BM$4:BM$312,"&gt;0")</f>
        <v>13373530</v>
      </c>
      <c r="G11" s="61">
        <f t="shared" si="4"/>
        <v>66413952</v>
      </c>
      <c r="H11" s="91">
        <f t="shared" si="5"/>
        <v>9.742218217147107E-2</v>
      </c>
      <c r="I11" s="91"/>
      <c r="J11" s="91"/>
      <c r="K11" s="91"/>
      <c r="L11" s="91"/>
      <c r="M11" s="91"/>
      <c r="N11" s="91"/>
      <c r="O11" s="91"/>
      <c r="P11" s="91"/>
      <c r="Q11" s="91"/>
    </row>
    <row r="12" spans="1:17" ht="14.5">
      <c r="A12" s="54" t="s">
        <v>131</v>
      </c>
      <c r="B12" s="67">
        <f>SUMIFS('Safeguard facility data'!BI$4:BI$312,'Safeguard facility data'!$Q$4:$Q$312,$A12,'Safeguard facility data'!BI$4:BI$312,"&gt;0")</f>
        <v>9140102</v>
      </c>
      <c r="C12" s="67">
        <f>SUMIFS('Safeguard facility data'!BJ$4:BJ$312,'Safeguard facility data'!$Q$4:$Q$312,$A12,'Safeguard facility data'!BJ$4:BJ$312,"&gt;0")</f>
        <v>9320326</v>
      </c>
      <c r="D12" s="67">
        <f>SUMIFS('Safeguard facility data'!BK$4:BK$312,'Safeguard facility data'!$Q$4:$Q$312,$A12,'Safeguard facility data'!BK$4:BK$312,"&gt;0")</f>
        <v>9142032</v>
      </c>
      <c r="E12" s="67">
        <f>SUMIFS('Safeguard facility data'!BL$4:BL$312,'Safeguard facility data'!$Q$4:$Q$312,$A12,'Safeguard facility data'!BL$4:BL$312,"&gt;0")</f>
        <v>8828738</v>
      </c>
      <c r="F12" s="67">
        <f>SUMIFS('Safeguard facility data'!BM$4:BM$312,'Safeguard facility data'!$Q$4:$Q$312,$A12,'Safeguard facility data'!BM$4:BM$312,"&gt;0")</f>
        <v>8993364</v>
      </c>
      <c r="G12" s="61">
        <f t="shared" si="4"/>
        <v>45424562</v>
      </c>
      <c r="H12" s="91">
        <f t="shared" si="5"/>
        <v>6.6632986307203684E-2</v>
      </c>
      <c r="I12" s="91"/>
      <c r="J12" s="91"/>
      <c r="K12" s="91"/>
      <c r="L12" s="91"/>
      <c r="M12" s="91"/>
      <c r="N12" s="91"/>
      <c r="O12" s="91"/>
      <c r="P12" s="91"/>
      <c r="Q12" s="91"/>
    </row>
    <row r="13" spans="1:17" ht="14.5">
      <c r="A13" s="54" t="s">
        <v>64</v>
      </c>
      <c r="B13" s="67">
        <f>SUMIFS('Safeguard facility data'!BI$4:BI$312,'Safeguard facility data'!$Q$4:$Q$312,$A13,'Safeguard facility data'!BI$4:BI$312,"&gt;0")</f>
        <v>5915379</v>
      </c>
      <c r="C13" s="67">
        <f>SUMIFS('Safeguard facility data'!BJ$4:BJ$312,'Safeguard facility data'!$Q$4:$Q$312,$A13,'Safeguard facility data'!BJ$4:BJ$312,"&gt;0")</f>
        <v>5839916</v>
      </c>
      <c r="D13" s="67">
        <f>SUMIFS('Safeguard facility data'!BK$4:BK$312,'Safeguard facility data'!$Q$4:$Q$312,$A13,'Safeguard facility data'!BK$4:BK$312,"&gt;0")</f>
        <v>5905079</v>
      </c>
      <c r="E13" s="67">
        <f>SUMIFS('Safeguard facility data'!BL$4:BL$312,'Safeguard facility data'!$Q$4:$Q$312,$A13,'Safeguard facility data'!BL$4:BL$312,"&gt;0")</f>
        <v>5722774</v>
      </c>
      <c r="F13" s="67">
        <f>SUMIFS('Safeguard facility data'!BM$4:BM$312,'Safeguard facility data'!$Q$4:$Q$312,$A13,'Safeguard facility data'!BM$4:BM$312,"&gt;0")</f>
        <v>5603472</v>
      </c>
      <c r="G13" s="61">
        <f t="shared" si="4"/>
        <v>28986620</v>
      </c>
      <c r="H13" s="91">
        <f t="shared" si="5"/>
        <v>4.2520279084961046E-2</v>
      </c>
      <c r="I13" s="91"/>
      <c r="J13" s="91"/>
      <c r="K13" s="91"/>
      <c r="L13" s="91"/>
      <c r="M13" s="91"/>
      <c r="N13" s="91"/>
      <c r="O13" s="91"/>
      <c r="P13" s="91"/>
      <c r="Q13" s="91"/>
    </row>
    <row r="14" spans="1:17" ht="14.5">
      <c r="A14" s="54" t="s">
        <v>125</v>
      </c>
      <c r="B14" s="67">
        <f>SUMIFS('Safeguard facility data'!BI$4:BI$312,'Safeguard facility data'!$Q$4:$Q$312,$A14,'Safeguard facility data'!BI$4:BI$312,"&gt;0")</f>
        <v>3830333</v>
      </c>
      <c r="C14" s="67">
        <f>SUMIFS('Safeguard facility data'!BJ$4:BJ$312,'Safeguard facility data'!$Q$4:$Q$312,$A14,'Safeguard facility data'!BJ$4:BJ$312,"&gt;0")</f>
        <v>4000228</v>
      </c>
      <c r="D14" s="67">
        <f>SUMIFS('Safeguard facility data'!BK$4:BK$312,'Safeguard facility data'!$Q$4:$Q$312,$A14,'Safeguard facility data'!BK$4:BK$312,"&gt;0")</f>
        <v>4366244</v>
      </c>
      <c r="E14" s="67">
        <f>SUMIFS('Safeguard facility data'!BL$4:BL$312,'Safeguard facility data'!$Q$4:$Q$312,$A14,'Safeguard facility data'!BL$4:BL$312,"&gt;0")</f>
        <v>5041903</v>
      </c>
      <c r="F14" s="67">
        <f>SUMIFS('Safeguard facility data'!BM$4:BM$312,'Safeguard facility data'!$Q$4:$Q$312,$A14,'Safeguard facility data'!BM$4:BM$312,"&gt;0")</f>
        <v>5384167</v>
      </c>
      <c r="G14" s="61">
        <f t="shared" si="4"/>
        <v>22622875</v>
      </c>
      <c r="H14" s="91">
        <f t="shared" si="5"/>
        <v>3.3185344089934878E-2</v>
      </c>
      <c r="I14" s="91"/>
      <c r="J14" s="91"/>
      <c r="K14" s="91"/>
      <c r="L14" s="91"/>
      <c r="M14" s="91"/>
      <c r="N14" s="91"/>
      <c r="O14" s="91"/>
      <c r="P14" s="91"/>
      <c r="Q14" s="91"/>
    </row>
    <row r="15" spans="1:17" ht="14.5">
      <c r="A15" s="54" t="s">
        <v>137</v>
      </c>
      <c r="B15" s="67">
        <f>SUMIFS('Safeguard facility data'!BI$4:BI$312,'Safeguard facility data'!$Q$4:$Q$312,$A15,'Safeguard facility data'!BI$4:BI$312,"&gt;0")</f>
        <v>4362435</v>
      </c>
      <c r="C15" s="67">
        <f>SUMIFS('Safeguard facility data'!BJ$4:BJ$312,'Safeguard facility data'!$Q$4:$Q$312,$A15,'Safeguard facility data'!BJ$4:BJ$312,"&gt;0")</f>
        <v>4315195</v>
      </c>
      <c r="D15" s="67">
        <f>SUMIFS('Safeguard facility data'!BK$4:BK$312,'Safeguard facility data'!$Q$4:$Q$312,$A15,'Safeguard facility data'!BK$4:BK$312,"&gt;0")</f>
        <v>4289414</v>
      </c>
      <c r="E15" s="67">
        <f>SUMIFS('Safeguard facility data'!BL$4:BL$312,'Safeguard facility data'!$Q$4:$Q$312,$A15,'Safeguard facility data'!BL$4:BL$312,"&gt;0")</f>
        <v>3354498</v>
      </c>
      <c r="F15" s="67">
        <f>SUMIFS('Safeguard facility data'!BM$4:BM$312,'Safeguard facility data'!$Q$4:$Q$312,$A15,'Safeguard facility data'!BM$4:BM$312,"&gt;0")</f>
        <v>2466674</v>
      </c>
      <c r="G15" s="61">
        <f t="shared" si="4"/>
        <v>18788216</v>
      </c>
      <c r="H15" s="91">
        <f t="shared" si="5"/>
        <v>2.7560308439843296E-2</v>
      </c>
      <c r="I15" s="91"/>
      <c r="J15" s="91"/>
      <c r="K15" s="91"/>
      <c r="L15" s="91"/>
      <c r="M15" s="91"/>
      <c r="N15" s="91"/>
      <c r="O15" s="91"/>
      <c r="P15" s="91"/>
      <c r="Q15" s="91"/>
    </row>
    <row r="16" spans="1:17" ht="14.5">
      <c r="A16" s="54" t="s">
        <v>39</v>
      </c>
      <c r="B16" s="67">
        <f>SUMIFS('Safeguard facility data'!BI$4:BI$312,'Safeguard facility data'!$Q$4:$Q$312,$A16,'Safeguard facility data'!BI$4:BI$312,"&gt;0")</f>
        <v>2868331</v>
      </c>
      <c r="C16" s="67">
        <f>SUMIFS('Safeguard facility data'!BJ$4:BJ$312,'Safeguard facility data'!$Q$4:$Q$312,$A16,'Safeguard facility data'!BJ$4:BJ$312,"&gt;0")</f>
        <v>3014014</v>
      </c>
      <c r="D16" s="67">
        <f>SUMIFS('Safeguard facility data'!BK$4:BK$312,'Safeguard facility data'!$Q$4:$Q$312,$A16,'Safeguard facility data'!BK$4:BK$312,"&gt;0")</f>
        <v>3079728</v>
      </c>
      <c r="E16" s="67">
        <f>SUMIFS('Safeguard facility data'!BL$4:BL$312,'Safeguard facility data'!$Q$4:$Q$312,$A16,'Safeguard facility data'!BL$4:BL$312,"&gt;0")</f>
        <v>3096110</v>
      </c>
      <c r="F16" s="67">
        <f>SUMIFS('Safeguard facility data'!BM$4:BM$312,'Safeguard facility data'!$Q$4:$Q$312,$A16,'Safeguard facility data'!BM$4:BM$312,"&gt;0")</f>
        <v>3030540</v>
      </c>
      <c r="G16" s="61">
        <f t="shared" si="4"/>
        <v>15088723</v>
      </c>
      <c r="H16" s="91">
        <f t="shared" si="5"/>
        <v>2.2133546891485473E-2</v>
      </c>
      <c r="I16" s="91"/>
      <c r="J16" s="91"/>
      <c r="K16" s="91"/>
      <c r="L16" s="91"/>
      <c r="M16" s="91"/>
      <c r="N16" s="91"/>
      <c r="O16" s="91"/>
      <c r="P16" s="91"/>
      <c r="Q16" s="91"/>
    </row>
    <row r="17" spans="1:17" ht="14.5">
      <c r="A17" s="54" t="s">
        <v>119</v>
      </c>
      <c r="B17" s="67">
        <f>SUMIFS('Safeguard facility data'!BI$4:BI$312,'Safeguard facility data'!$Q$4:$Q$312,$A17,'Safeguard facility data'!BI$4:BI$312,"&gt;0")</f>
        <v>3115290</v>
      </c>
      <c r="C17" s="67">
        <f>SUMIFS('Safeguard facility data'!BJ$4:BJ$312,'Safeguard facility data'!$Q$4:$Q$312,$A17,'Safeguard facility data'!BJ$4:BJ$312,"&gt;0")</f>
        <v>3224906</v>
      </c>
      <c r="D17" s="67">
        <f>SUMIFS('Safeguard facility data'!BK$4:BK$312,'Safeguard facility data'!$Q$4:$Q$312,$A17,'Safeguard facility data'!BK$4:BK$312,"&gt;0")</f>
        <v>3197232</v>
      </c>
      <c r="E17" s="67">
        <f>SUMIFS('Safeguard facility data'!BL$4:BL$312,'Safeguard facility data'!$Q$4:$Q$312,$A17,'Safeguard facility data'!BL$4:BL$312,"&gt;0")</f>
        <v>2809779</v>
      </c>
      <c r="F17" s="67">
        <f>SUMIFS('Safeguard facility data'!BM$4:BM$312,'Safeguard facility data'!$Q$4:$Q$312,$A17,'Safeguard facility data'!BM$4:BM$312,"&gt;0")</f>
        <v>2543924</v>
      </c>
      <c r="G17" s="61">
        <f t="shared" si="4"/>
        <v>14891131</v>
      </c>
      <c r="H17" s="91">
        <f t="shared" si="5"/>
        <v>2.1843700507707179E-2</v>
      </c>
      <c r="I17" s="91"/>
      <c r="J17" s="91"/>
      <c r="K17" s="91"/>
      <c r="L17" s="91"/>
      <c r="M17" s="91"/>
      <c r="N17" s="91"/>
      <c r="O17" s="91"/>
      <c r="P17" s="91"/>
      <c r="Q17" s="91"/>
    </row>
    <row r="18" spans="1:17" ht="14.5">
      <c r="A18" s="54" t="s">
        <v>278</v>
      </c>
      <c r="B18" s="67">
        <f>SUMIFS('Safeguard facility data'!BI$4:BI$312,'Safeguard facility data'!$Q$4:$Q$312,$A18,'Safeguard facility data'!BI$4:BI$312,"&gt;0")</f>
        <v>2682827</v>
      </c>
      <c r="C18" s="67">
        <f>SUMIFS('Safeguard facility data'!BJ$4:BJ$312,'Safeguard facility data'!$Q$4:$Q$312,$A18,'Safeguard facility data'!BJ$4:BJ$312,"&gt;0")</f>
        <v>2748953</v>
      </c>
      <c r="D18" s="67">
        <f>SUMIFS('Safeguard facility data'!BK$4:BK$312,'Safeguard facility data'!$Q$4:$Q$312,$A18,'Safeguard facility data'!BK$4:BK$312,"&gt;0")</f>
        <v>2703446</v>
      </c>
      <c r="E18" s="67">
        <f>SUMIFS('Safeguard facility data'!BL$4:BL$312,'Safeguard facility data'!$Q$4:$Q$312,$A18,'Safeguard facility data'!BL$4:BL$312,"&gt;0")</f>
        <v>2835523</v>
      </c>
      <c r="F18" s="67">
        <f>SUMIFS('Safeguard facility data'!BM$4:BM$312,'Safeguard facility data'!$Q$4:$Q$312,$A18,'Safeguard facility data'!BM$4:BM$312,"&gt;0")</f>
        <v>3001441</v>
      </c>
      <c r="G18" s="61">
        <f t="shared" si="4"/>
        <v>13972190</v>
      </c>
      <c r="H18" s="91">
        <f t="shared" si="5"/>
        <v>2.0495712098482055E-2</v>
      </c>
      <c r="I18" s="91"/>
      <c r="J18" s="91"/>
      <c r="K18" s="91"/>
      <c r="L18" s="91"/>
      <c r="M18" s="91"/>
      <c r="N18" s="91"/>
      <c r="O18" s="91"/>
      <c r="P18" s="91"/>
      <c r="Q18" s="91"/>
    </row>
    <row r="19" spans="1:17" ht="14.5">
      <c r="A19" s="54" t="s">
        <v>159</v>
      </c>
      <c r="B19" s="67">
        <f>SUMIFS('Safeguard facility data'!BI$4:BI$312,'Safeguard facility data'!$Q$4:$Q$312,$A19,'Safeguard facility data'!BI$4:BI$312,"&gt;0")</f>
        <v>1576267</v>
      </c>
      <c r="C19" s="67">
        <f>SUMIFS('Safeguard facility data'!BJ$4:BJ$312,'Safeguard facility data'!$Q$4:$Q$312,$A19,'Safeguard facility data'!BJ$4:BJ$312,"&gt;0")</f>
        <v>3007494</v>
      </c>
      <c r="D19" s="67">
        <f>SUMIFS('Safeguard facility data'!BK$4:BK$312,'Safeguard facility data'!$Q$4:$Q$312,$A19,'Safeguard facility data'!BK$4:BK$312,"&gt;0")</f>
        <v>2502069</v>
      </c>
      <c r="E19" s="67">
        <f>SUMIFS('Safeguard facility data'!BL$4:BL$312,'Safeguard facility data'!$Q$4:$Q$312,$A19,'Safeguard facility data'!BL$4:BL$312,"&gt;0")</f>
        <v>2745140</v>
      </c>
      <c r="F19" s="67">
        <f>SUMIFS('Safeguard facility data'!BM$4:BM$312,'Safeguard facility data'!$Q$4:$Q$312,$A19,'Safeguard facility data'!BM$4:BM$312,"&gt;0")</f>
        <v>3100186</v>
      </c>
      <c r="G19" s="61">
        <f t="shared" si="4"/>
        <v>12931156</v>
      </c>
      <c r="H19" s="91">
        <f t="shared" si="5"/>
        <v>1.8968626283822277E-2</v>
      </c>
      <c r="I19" s="91"/>
      <c r="J19" s="91"/>
      <c r="K19" s="91"/>
      <c r="L19" s="91"/>
      <c r="M19" s="91"/>
      <c r="N19" s="91"/>
      <c r="O19" s="91"/>
      <c r="P19" s="91"/>
      <c r="Q19" s="91"/>
    </row>
    <row r="20" spans="1:17" ht="14.5">
      <c r="A20" s="54" t="s">
        <v>272</v>
      </c>
      <c r="B20" s="67">
        <f>SUMIFS('Safeguard facility data'!BI$4:BI$312,'Safeguard facility data'!$Q$4:$Q$312,$A20,'Safeguard facility data'!BI$4:BI$312,"&gt;0")</f>
        <v>2688811</v>
      </c>
      <c r="C20" s="67">
        <f>SUMIFS('Safeguard facility data'!BJ$4:BJ$312,'Safeguard facility data'!$Q$4:$Q$312,$A20,'Safeguard facility data'!BJ$4:BJ$312,"&gt;0")</f>
        <v>2695280</v>
      </c>
      <c r="D20" s="67">
        <f>SUMIFS('Safeguard facility data'!BK$4:BK$312,'Safeguard facility data'!$Q$4:$Q$312,$A20,'Safeguard facility data'!BK$4:BK$312,"&gt;0")</f>
        <v>2597936</v>
      </c>
      <c r="E20" s="67">
        <f>SUMIFS('Safeguard facility data'!BL$4:BL$312,'Safeguard facility data'!$Q$4:$Q$312,$A20,'Safeguard facility data'!BL$4:BL$312,"&gt;0")</f>
        <v>1919212</v>
      </c>
      <c r="F20" s="67">
        <f>SUMIFS('Safeguard facility data'!BM$4:BM$312,'Safeguard facility data'!$Q$4:$Q$312,$A20,'Safeguard facility data'!BM$4:BM$312,"&gt;0")</f>
        <v>1050511</v>
      </c>
      <c r="G20" s="61">
        <f t="shared" si="4"/>
        <v>10951750</v>
      </c>
      <c r="H20" s="91">
        <f t="shared" si="5"/>
        <v>1.6065048855945334E-2</v>
      </c>
      <c r="I20" s="91"/>
      <c r="J20" s="91"/>
      <c r="K20" s="91"/>
      <c r="L20" s="91"/>
      <c r="M20" s="91"/>
      <c r="N20" s="91"/>
      <c r="O20" s="91"/>
      <c r="P20" s="91"/>
      <c r="Q20" s="91"/>
    </row>
    <row r="21" spans="1:17" ht="14.5">
      <c r="A21" s="54" t="s">
        <v>158</v>
      </c>
      <c r="B21" s="67">
        <f>SUMIFS('Safeguard facility data'!BI$4:BI$312,'Safeguard facility data'!$Q$4:$Q$312,$A21,'Safeguard facility data'!BI$4:BI$312,"&gt;0")</f>
        <v>1755342</v>
      </c>
      <c r="C21" s="67">
        <f>SUMIFS('Safeguard facility data'!BJ$4:BJ$312,'Safeguard facility data'!$Q$4:$Q$312,$A21,'Safeguard facility data'!BJ$4:BJ$312,"&gt;0")</f>
        <v>1986729</v>
      </c>
      <c r="D21" s="67">
        <f>SUMIFS('Safeguard facility data'!BK$4:BK$312,'Safeguard facility data'!$Q$4:$Q$312,$A21,'Safeguard facility data'!BK$4:BK$312,"&gt;0")</f>
        <v>2231734</v>
      </c>
      <c r="E21" s="67">
        <f>SUMIFS('Safeguard facility data'!BL$4:BL$312,'Safeguard facility data'!$Q$4:$Q$312,$A21,'Safeguard facility data'!BL$4:BL$312,"&gt;0")</f>
        <v>1790767</v>
      </c>
      <c r="F21" s="67">
        <f>SUMIFS('Safeguard facility data'!BM$4:BM$312,'Safeguard facility data'!$Q$4:$Q$312,$A21,'Safeguard facility data'!BM$4:BM$312,"&gt;0")</f>
        <v>1557717</v>
      </c>
      <c r="G21" s="61">
        <f t="shared" si="4"/>
        <v>9322289</v>
      </c>
      <c r="H21" s="91">
        <f t="shared" si="5"/>
        <v>1.3674803408974983E-2</v>
      </c>
      <c r="I21" s="91"/>
      <c r="J21" s="91"/>
      <c r="K21" s="91"/>
      <c r="L21" s="91"/>
      <c r="M21" s="91"/>
      <c r="N21" s="91"/>
      <c r="O21" s="91"/>
      <c r="P21" s="91"/>
      <c r="Q21" s="91"/>
    </row>
    <row r="22" spans="1:17" ht="14.5">
      <c r="A22" s="54" t="s">
        <v>110</v>
      </c>
      <c r="B22" s="67">
        <f>SUMIFS('Safeguard facility data'!BI$4:BI$312,'Safeguard facility data'!$Q$4:$Q$312,$A22,'Safeguard facility data'!BI$4:BI$312,"&gt;0")</f>
        <v>1870370</v>
      </c>
      <c r="C22" s="67">
        <f>SUMIFS('Safeguard facility data'!BJ$4:BJ$312,'Safeguard facility data'!$Q$4:$Q$312,$A22,'Safeguard facility data'!BJ$4:BJ$312,"&gt;0")</f>
        <v>1702266</v>
      </c>
      <c r="D22" s="67">
        <f>SUMIFS('Safeguard facility data'!BK$4:BK$312,'Safeguard facility data'!$Q$4:$Q$312,$A22,'Safeguard facility data'!BK$4:BK$312,"&gt;0")</f>
        <v>1636291</v>
      </c>
      <c r="E22" s="67">
        <f>SUMIFS('Safeguard facility data'!BL$4:BL$312,'Safeguard facility data'!$Q$4:$Q$312,$A22,'Safeguard facility data'!BL$4:BL$312,"&gt;0")</f>
        <v>1922443</v>
      </c>
      <c r="F22" s="67">
        <f>SUMIFS('Safeguard facility data'!BM$4:BM$312,'Safeguard facility data'!$Q$4:$Q$312,$A22,'Safeguard facility data'!BM$4:BM$312,"&gt;0")</f>
        <v>1806857</v>
      </c>
      <c r="G22" s="61">
        <f t="shared" si="4"/>
        <v>8938227</v>
      </c>
      <c r="H22" s="91">
        <f t="shared" si="5"/>
        <v>1.3111425428861113E-2</v>
      </c>
      <c r="I22" s="91"/>
      <c r="J22" s="91"/>
      <c r="K22" s="91"/>
      <c r="L22" s="91"/>
      <c r="M22" s="91"/>
      <c r="N22" s="91"/>
      <c r="O22" s="91"/>
      <c r="P22" s="91"/>
      <c r="Q22" s="91"/>
    </row>
    <row r="23" spans="1:17" ht="14.5">
      <c r="A23" s="54" t="s">
        <v>123</v>
      </c>
      <c r="B23" s="67">
        <f>SUMIFS('Safeguard facility data'!BI$4:BI$312,'Safeguard facility data'!$Q$4:$Q$312,$A23,'Safeguard facility data'!BI$4:BI$312,"&gt;0")</f>
        <v>1159359</v>
      </c>
      <c r="C23" s="67">
        <f>SUMIFS('Safeguard facility data'!BJ$4:BJ$312,'Safeguard facility data'!$Q$4:$Q$312,$A23,'Safeguard facility data'!BJ$4:BJ$312,"&gt;0")</f>
        <v>1210564</v>
      </c>
      <c r="D23" s="67">
        <f>SUMIFS('Safeguard facility data'!BK$4:BK$312,'Safeguard facility data'!$Q$4:$Q$312,$A23,'Safeguard facility data'!BK$4:BK$312,"&gt;0")</f>
        <v>1180036</v>
      </c>
      <c r="E23" s="67">
        <f>SUMIFS('Safeguard facility data'!BL$4:BL$312,'Safeguard facility data'!$Q$4:$Q$312,$A23,'Safeguard facility data'!BL$4:BL$312,"&gt;0")</f>
        <v>1866251</v>
      </c>
      <c r="F23" s="67">
        <f>SUMIFS('Safeguard facility data'!BM$4:BM$312,'Safeguard facility data'!$Q$4:$Q$312,$A23,'Safeguard facility data'!BM$4:BM$312,"&gt;0")</f>
        <v>2236047</v>
      </c>
      <c r="G23" s="61">
        <f t="shared" si="4"/>
        <v>7652257</v>
      </c>
      <c r="H23" s="91">
        <f t="shared" si="5"/>
        <v>1.1225044633346238E-2</v>
      </c>
      <c r="I23" s="91"/>
      <c r="J23" s="91"/>
      <c r="K23" s="91"/>
      <c r="L23" s="91"/>
      <c r="M23" s="91"/>
      <c r="N23" s="91"/>
      <c r="O23" s="91"/>
      <c r="P23" s="91"/>
      <c r="Q23" s="91"/>
    </row>
    <row r="24" spans="1:17" ht="14.5">
      <c r="A24" s="54" t="s">
        <v>277</v>
      </c>
      <c r="B24" s="67">
        <f>SUMIFS('Safeguard facility data'!BI$4:BI$312,'Safeguard facility data'!$Q$4:$Q$312,$A24,'Safeguard facility data'!BI$4:BI$312,"&gt;0")</f>
        <v>1051543</v>
      </c>
      <c r="C24" s="67">
        <f>SUMIFS('Safeguard facility data'!BJ$4:BJ$312,'Safeguard facility data'!$Q$4:$Q$312,$A24,'Safeguard facility data'!BJ$4:BJ$312,"&gt;0")</f>
        <v>1179835</v>
      </c>
      <c r="D24" s="67">
        <f>SUMIFS('Safeguard facility data'!BK$4:BK$312,'Safeguard facility data'!$Q$4:$Q$312,$A24,'Safeguard facility data'!BK$4:BK$312,"&gt;0")</f>
        <v>1256525</v>
      </c>
      <c r="E24" s="67">
        <f>SUMIFS('Safeguard facility data'!BL$4:BL$312,'Safeguard facility data'!$Q$4:$Q$312,$A24,'Safeguard facility data'!BL$4:BL$312,"&gt;0")</f>
        <v>1305831</v>
      </c>
      <c r="F24" s="67">
        <f>SUMIFS('Safeguard facility data'!BM$4:BM$312,'Safeguard facility data'!$Q$4:$Q$312,$A24,'Safeguard facility data'!BM$4:BM$312,"&gt;0")</f>
        <v>1241225</v>
      </c>
      <c r="G24" s="61">
        <f t="shared" si="4"/>
        <v>6034959</v>
      </c>
      <c r="H24" s="91">
        <f t="shared" si="5"/>
        <v>8.8526410097588965E-3</v>
      </c>
      <c r="I24" s="91"/>
      <c r="J24" s="91"/>
      <c r="K24" s="91"/>
      <c r="L24" s="91"/>
      <c r="M24" s="91"/>
      <c r="N24" s="91"/>
      <c r="O24" s="91"/>
      <c r="P24" s="91"/>
      <c r="Q24" s="91"/>
    </row>
    <row r="25" spans="1:17" ht="14.5">
      <c r="A25" s="54" t="s">
        <v>139</v>
      </c>
      <c r="B25" s="67">
        <f>SUMIFS('Safeguard facility data'!BI$4:BI$312,'Safeguard facility data'!$Q$4:$Q$312,$A25,'Safeguard facility data'!BI$4:BI$312,"&gt;0")</f>
        <v>476872</v>
      </c>
      <c r="C25" s="67">
        <f>SUMIFS('Safeguard facility data'!BJ$4:BJ$312,'Safeguard facility data'!$Q$4:$Q$312,$A25,'Safeguard facility data'!BJ$4:BJ$312,"&gt;0")</f>
        <v>672534</v>
      </c>
      <c r="D25" s="67">
        <f>SUMIFS('Safeguard facility data'!BK$4:BK$312,'Safeguard facility data'!$Q$4:$Q$312,$A25,'Safeguard facility data'!BK$4:BK$312,"&gt;0")</f>
        <v>816823</v>
      </c>
      <c r="E25" s="67">
        <f>SUMIFS('Safeguard facility data'!BL$4:BL$312,'Safeguard facility data'!$Q$4:$Q$312,$A25,'Safeguard facility data'!BL$4:BL$312,"&gt;0")</f>
        <v>812456</v>
      </c>
      <c r="F25" s="67">
        <f>SUMIFS('Safeguard facility data'!BM$4:BM$312,'Safeguard facility data'!$Q$4:$Q$312,$A25,'Safeguard facility data'!BM$4:BM$312,"&gt;0")</f>
        <v>761914</v>
      </c>
      <c r="G25" s="61">
        <f t="shared" si="4"/>
        <v>3540599</v>
      </c>
      <c r="H25" s="91">
        <f t="shared" si="5"/>
        <v>5.1936810020600539E-3</v>
      </c>
      <c r="I25" s="91"/>
      <c r="J25" s="91"/>
      <c r="K25" s="91"/>
      <c r="L25" s="91"/>
      <c r="M25" s="91"/>
      <c r="N25" s="91"/>
      <c r="O25" s="91"/>
      <c r="P25" s="91"/>
      <c r="Q25" s="91"/>
    </row>
    <row r="26" spans="1:17" ht="14.5">
      <c r="A26" s="54" t="s">
        <v>228</v>
      </c>
      <c r="B26" s="67">
        <f>SUMIFS('Safeguard facility data'!BI$4:BI$312,'Safeguard facility data'!$Q$4:$Q$312,$A26,'Safeguard facility data'!BI$4:BI$312,"&gt;0")</f>
        <v>729941</v>
      </c>
      <c r="C26" s="67">
        <f>SUMIFS('Safeguard facility data'!BJ$4:BJ$312,'Safeguard facility data'!$Q$4:$Q$312,$A26,'Safeguard facility data'!BJ$4:BJ$312,"&gt;0")</f>
        <v>663963</v>
      </c>
      <c r="D26" s="67">
        <f>SUMIFS('Safeguard facility data'!BK$4:BK$312,'Safeguard facility data'!$Q$4:$Q$312,$A26,'Safeguard facility data'!BK$4:BK$312,"&gt;0")</f>
        <v>760170</v>
      </c>
      <c r="E26" s="67">
        <f>SUMIFS('Safeguard facility data'!BL$4:BL$312,'Safeguard facility data'!$Q$4:$Q$312,$A26,'Safeguard facility data'!BL$4:BL$312,"&gt;0")</f>
        <v>675287</v>
      </c>
      <c r="F26" s="67">
        <f>SUMIFS('Safeguard facility data'!BM$4:BM$312,'Safeguard facility data'!$Q$4:$Q$312,$A26,'Safeguard facility data'!BM$4:BM$312,"&gt;0")</f>
        <v>643363</v>
      </c>
      <c r="G26" s="61">
        <f t="shared" si="4"/>
        <v>3472724</v>
      </c>
      <c r="H26" s="91">
        <f t="shared" si="5"/>
        <v>5.0941156183453695E-3</v>
      </c>
      <c r="I26" s="91"/>
      <c r="J26" s="91"/>
      <c r="K26" s="91"/>
      <c r="L26" s="91"/>
      <c r="M26" s="91"/>
      <c r="N26" s="91"/>
      <c r="O26" s="91"/>
      <c r="P26" s="91"/>
      <c r="Q26" s="91"/>
    </row>
    <row r="27" spans="1:17" ht="14.5">
      <c r="A27" s="54" t="s">
        <v>225</v>
      </c>
      <c r="B27" s="67">
        <f>SUMIFS('Safeguard facility data'!BI$4:BI$312,'Safeguard facility data'!$Q$4:$Q$312,$A27,'Safeguard facility data'!BI$4:BI$312,"&gt;0")</f>
        <v>613270</v>
      </c>
      <c r="C27" s="67">
        <f>SUMIFS('Safeguard facility data'!BJ$4:BJ$312,'Safeguard facility data'!$Q$4:$Q$312,$A27,'Safeguard facility data'!BJ$4:BJ$312,"&gt;0")</f>
        <v>513365</v>
      </c>
      <c r="D27" s="67">
        <f>SUMIFS('Safeguard facility data'!BK$4:BK$312,'Safeguard facility data'!$Q$4:$Q$312,$A27,'Safeguard facility data'!BK$4:BK$312,"&gt;0")</f>
        <v>502006</v>
      </c>
      <c r="E27" s="67">
        <f>SUMIFS('Safeguard facility data'!BL$4:BL$312,'Safeguard facility data'!$Q$4:$Q$312,$A27,'Safeguard facility data'!BL$4:BL$312,"&gt;0")</f>
        <v>611161</v>
      </c>
      <c r="F27" s="67">
        <f>SUMIFS('Safeguard facility data'!BM$4:BM$312,'Safeguard facility data'!$Q$4:$Q$312,$A27,'Safeguard facility data'!BM$4:BM$312,"&gt;0")</f>
        <v>784899</v>
      </c>
      <c r="G27" s="61">
        <f t="shared" si="4"/>
        <v>3024701</v>
      </c>
      <c r="H27" s="91">
        <f t="shared" si="5"/>
        <v>4.4369136749493653E-3</v>
      </c>
      <c r="I27" s="91"/>
      <c r="J27" s="91"/>
      <c r="K27" s="91"/>
      <c r="L27" s="91"/>
      <c r="M27" s="91"/>
      <c r="N27" s="91"/>
      <c r="O27" s="91"/>
      <c r="P27" s="91"/>
      <c r="Q27" s="91"/>
    </row>
    <row r="28" spans="1:17" ht="14.5">
      <c r="A28" s="54" t="s">
        <v>140</v>
      </c>
      <c r="B28" s="67">
        <f>SUMIFS('Safeguard facility data'!BI$4:BI$312,'Safeguard facility data'!$Q$4:$Q$312,$A28,'Safeguard facility data'!BI$4:BI$312,"&gt;0")</f>
        <v>532039</v>
      </c>
      <c r="C28" s="67">
        <f>SUMIFS('Safeguard facility data'!BJ$4:BJ$312,'Safeguard facility data'!$Q$4:$Q$312,$A28,'Safeguard facility data'!BJ$4:BJ$312,"&gt;0")</f>
        <v>487413</v>
      </c>
      <c r="D28" s="67">
        <f>SUMIFS('Safeguard facility data'!BK$4:BK$312,'Safeguard facility data'!$Q$4:$Q$312,$A28,'Safeguard facility data'!BK$4:BK$312,"&gt;0")</f>
        <v>468729</v>
      </c>
      <c r="E28" s="67">
        <f>SUMIFS('Safeguard facility data'!BL$4:BL$312,'Safeguard facility data'!$Q$4:$Q$312,$A28,'Safeguard facility data'!BL$4:BL$312,"&gt;0")</f>
        <v>471188</v>
      </c>
      <c r="F28" s="67">
        <f>SUMIFS('Safeguard facility data'!BM$4:BM$312,'Safeguard facility data'!$Q$4:$Q$312,$A28,'Safeguard facility data'!BM$4:BM$312,"&gt;0")</f>
        <v>461734</v>
      </c>
      <c r="G28" s="61">
        <f t="shared" si="4"/>
        <v>2421103</v>
      </c>
      <c r="H28" s="91">
        <f t="shared" si="5"/>
        <v>3.5514998041660754E-3</v>
      </c>
      <c r="I28" s="91"/>
      <c r="J28" s="91"/>
      <c r="K28" s="91"/>
      <c r="L28" s="91"/>
      <c r="M28" s="91"/>
      <c r="N28" s="91"/>
      <c r="O28" s="91"/>
      <c r="P28" s="91"/>
      <c r="Q28" s="91"/>
    </row>
    <row r="29" spans="1:17" ht="14.5">
      <c r="A29" s="54" t="s">
        <v>280</v>
      </c>
      <c r="B29" s="67">
        <f>SUMIFS('Safeguard facility data'!BI$4:BI$312,'Safeguard facility data'!$Q$4:$Q$312,$A29,'Safeguard facility data'!BI$4:BI$312,"&gt;0")</f>
        <v>474456</v>
      </c>
      <c r="C29" s="67">
        <f>SUMIFS('Safeguard facility data'!BJ$4:BJ$312,'Safeguard facility data'!$Q$4:$Q$312,$A29,'Safeguard facility data'!BJ$4:BJ$312,"&gt;0")</f>
        <v>466752</v>
      </c>
      <c r="D29" s="67">
        <f>SUMIFS('Safeguard facility data'!BK$4:BK$312,'Safeguard facility data'!$Q$4:$Q$312,$A29,'Safeguard facility data'!BK$4:BK$312,"&gt;0")</f>
        <v>496343</v>
      </c>
      <c r="E29" s="67">
        <f>SUMIFS('Safeguard facility data'!BL$4:BL$312,'Safeguard facility data'!$Q$4:$Q$312,$A29,'Safeguard facility data'!BL$4:BL$312,"&gt;0")</f>
        <v>518875</v>
      </c>
      <c r="F29" s="67">
        <f>SUMIFS('Safeguard facility data'!BM$4:BM$312,'Safeguard facility data'!$Q$4:$Q$312,$A29,'Safeguard facility data'!BM$4:BM$312,"&gt;0")</f>
        <v>444449</v>
      </c>
      <c r="G29" s="61">
        <f t="shared" si="4"/>
        <v>2400875</v>
      </c>
      <c r="H29" s="91">
        <f t="shared" si="5"/>
        <v>3.5218274862024563E-3</v>
      </c>
      <c r="I29" s="91"/>
      <c r="J29" s="91"/>
      <c r="K29" s="91"/>
      <c r="L29" s="91"/>
      <c r="M29" s="91"/>
      <c r="N29" s="91"/>
      <c r="O29" s="91"/>
      <c r="P29" s="91"/>
      <c r="Q29" s="91"/>
    </row>
    <row r="30" spans="1:17" ht="14.5">
      <c r="A30" s="54" t="s">
        <v>268</v>
      </c>
      <c r="B30" s="67">
        <f>SUMIFS('Safeguard facility data'!BI$4:BI$312,'Safeguard facility data'!$Q$4:$Q$312,$A30,'Safeguard facility data'!BI$4:BI$312,"&gt;0")</f>
        <v>471381</v>
      </c>
      <c r="C30" s="67">
        <f>SUMIFS('Safeguard facility data'!BJ$4:BJ$312,'Safeguard facility data'!$Q$4:$Q$312,$A30,'Safeguard facility data'!BJ$4:BJ$312,"&gt;0")</f>
        <v>495382</v>
      </c>
      <c r="D30" s="67">
        <f>SUMIFS('Safeguard facility data'!BK$4:BK$312,'Safeguard facility data'!$Q$4:$Q$312,$A30,'Safeguard facility data'!BK$4:BK$312,"&gt;0")</f>
        <v>471013</v>
      </c>
      <c r="E30" s="67">
        <f>SUMIFS('Safeguard facility data'!BL$4:BL$312,'Safeguard facility data'!$Q$4:$Q$312,$A30,'Safeguard facility data'!BL$4:BL$312,"&gt;0")</f>
        <v>518876</v>
      </c>
      <c r="F30" s="67">
        <f>SUMIFS('Safeguard facility data'!BM$4:BM$312,'Safeguard facility data'!$Q$4:$Q$312,$A30,'Safeguard facility data'!BM$4:BM$312,"&gt;0")</f>
        <v>419060</v>
      </c>
      <c r="G30" s="61">
        <f t="shared" si="4"/>
        <v>2375712</v>
      </c>
      <c r="H30" s="91">
        <f t="shared" si="5"/>
        <v>3.4849160497322893E-3</v>
      </c>
      <c r="I30" s="91"/>
      <c r="J30" s="91"/>
      <c r="K30" s="91"/>
      <c r="L30" s="91"/>
      <c r="M30" s="91"/>
      <c r="N30" s="91"/>
      <c r="O30" s="91"/>
      <c r="P30" s="91"/>
      <c r="Q30" s="91"/>
    </row>
    <row r="31" spans="1:17" ht="14.5">
      <c r="A31" s="54" t="s">
        <v>176</v>
      </c>
      <c r="B31" s="67">
        <f>SUMIFS('Safeguard facility data'!BI$4:BI$312,'Safeguard facility data'!$Q$4:$Q$312,$A31,'Safeguard facility data'!BI$4:BI$312,"&gt;0")</f>
        <v>427207</v>
      </c>
      <c r="C31" s="67">
        <f>SUMIFS('Safeguard facility data'!BJ$4:BJ$312,'Safeguard facility data'!$Q$4:$Q$312,$A31,'Safeguard facility data'!BJ$4:BJ$312,"&gt;0")</f>
        <v>427890</v>
      </c>
      <c r="D31" s="67">
        <f>SUMIFS('Safeguard facility data'!BK$4:BK$312,'Safeguard facility data'!$Q$4:$Q$312,$A31,'Safeguard facility data'!BK$4:BK$312,"&gt;0")</f>
        <v>431251</v>
      </c>
      <c r="E31" s="67">
        <f>SUMIFS('Safeguard facility data'!BL$4:BL$312,'Safeguard facility data'!$Q$4:$Q$312,$A31,'Safeguard facility data'!BL$4:BL$312,"&gt;0")</f>
        <v>418163</v>
      </c>
      <c r="F31" s="67">
        <f>SUMIFS('Safeguard facility data'!BM$4:BM$312,'Safeguard facility data'!$Q$4:$Q$312,$A31,'Safeguard facility data'!BM$4:BM$312,"&gt;0")</f>
        <v>328572</v>
      </c>
      <c r="G31" s="61">
        <f t="shared" si="4"/>
        <v>2033083</v>
      </c>
      <c r="H31" s="91">
        <f t="shared" si="5"/>
        <v>2.9823158603138225E-3</v>
      </c>
      <c r="I31" s="91"/>
      <c r="J31" s="91"/>
      <c r="K31" s="91"/>
      <c r="L31" s="91"/>
      <c r="M31" s="91"/>
      <c r="N31" s="91"/>
      <c r="O31" s="91"/>
      <c r="P31" s="91"/>
      <c r="Q31" s="91"/>
    </row>
    <row r="32" spans="1:17" ht="14.5">
      <c r="A32" s="54" t="s">
        <v>204</v>
      </c>
      <c r="B32" s="67">
        <f>SUMIFS('Safeguard facility data'!BI$4:BI$312,'Safeguard facility data'!$Q$4:$Q$312,$A32,'Safeguard facility data'!BI$4:BI$312,"&gt;0")</f>
        <v>305789</v>
      </c>
      <c r="C32" s="67">
        <f>SUMIFS('Safeguard facility data'!BJ$4:BJ$312,'Safeguard facility data'!$Q$4:$Q$312,$A32,'Safeguard facility data'!BJ$4:BJ$312,"&gt;0")</f>
        <v>302183</v>
      </c>
      <c r="D32" s="67">
        <f>SUMIFS('Safeguard facility data'!BK$4:BK$312,'Safeguard facility data'!$Q$4:$Q$312,$A32,'Safeguard facility data'!BK$4:BK$312,"&gt;0")</f>
        <v>290251</v>
      </c>
      <c r="E32" s="67">
        <f>SUMIFS('Safeguard facility data'!BL$4:BL$312,'Safeguard facility data'!$Q$4:$Q$312,$A32,'Safeguard facility data'!BL$4:BL$312,"&gt;0")</f>
        <v>603183</v>
      </c>
      <c r="F32" s="67">
        <f>SUMIFS('Safeguard facility data'!BM$4:BM$312,'Safeguard facility data'!$Q$4:$Q$312,$A32,'Safeguard facility data'!BM$4:BM$312,"&gt;0")</f>
        <v>481145</v>
      </c>
      <c r="G32" s="61">
        <f t="shared" si="4"/>
        <v>1982551</v>
      </c>
      <c r="H32" s="91">
        <f t="shared" si="5"/>
        <v>2.9081908073507225E-3</v>
      </c>
      <c r="I32" s="91"/>
      <c r="J32" s="91"/>
      <c r="K32" s="91"/>
      <c r="L32" s="91"/>
      <c r="M32" s="91"/>
      <c r="N32" s="91"/>
      <c r="O32" s="91"/>
      <c r="P32" s="91"/>
      <c r="Q32" s="91"/>
    </row>
    <row r="33" spans="1:17" ht="14.5">
      <c r="A33" s="54" t="s">
        <v>50</v>
      </c>
      <c r="B33" s="67">
        <f>SUMIFS('Safeguard facility data'!BI$4:BI$312,'Safeguard facility data'!$Q$4:$Q$312,$A33,'Safeguard facility data'!BI$4:BI$312,"&gt;0")</f>
        <v>358140</v>
      </c>
      <c r="C33" s="67">
        <f>SUMIFS('Safeguard facility data'!BJ$4:BJ$312,'Safeguard facility data'!$Q$4:$Q$312,$A33,'Safeguard facility data'!BJ$4:BJ$312,"&gt;0")</f>
        <v>383133</v>
      </c>
      <c r="D33" s="67">
        <f>SUMIFS('Safeguard facility data'!BK$4:BK$312,'Safeguard facility data'!$Q$4:$Q$312,$A33,'Safeguard facility data'!BK$4:BK$312,"&gt;0")</f>
        <v>324441</v>
      </c>
      <c r="E33" s="67">
        <f>SUMIFS('Safeguard facility data'!BL$4:BL$312,'Safeguard facility data'!$Q$4:$Q$312,$A33,'Safeguard facility data'!BL$4:BL$312,"&gt;0")</f>
        <v>367950</v>
      </c>
      <c r="F33" s="67">
        <f>SUMIFS('Safeguard facility data'!BM$4:BM$312,'Safeguard facility data'!$Q$4:$Q$312,$A33,'Safeguard facility data'!BM$4:BM$312,"&gt;0")</f>
        <v>459388</v>
      </c>
      <c r="G33" s="61">
        <f t="shared" si="4"/>
        <v>1893052</v>
      </c>
      <c r="H33" s="91">
        <f t="shared" si="5"/>
        <v>2.7769053226055218E-3</v>
      </c>
      <c r="I33" s="91"/>
      <c r="J33" s="91"/>
      <c r="K33" s="91"/>
      <c r="L33" s="91"/>
      <c r="M33" s="91"/>
      <c r="N33" s="91"/>
      <c r="O33" s="91"/>
      <c r="P33" s="91"/>
      <c r="Q33" s="91"/>
    </row>
    <row r="34" spans="1:17" ht="14.5">
      <c r="A34" s="54" t="s">
        <v>213</v>
      </c>
      <c r="B34" s="67">
        <f>SUMIFS('Safeguard facility data'!BI$4:BI$312,'Safeguard facility data'!$Q$4:$Q$312,$A34,'Safeguard facility data'!BI$4:BI$312,"&gt;0")</f>
        <v>343208</v>
      </c>
      <c r="C34" s="67">
        <f>SUMIFS('Safeguard facility data'!BJ$4:BJ$312,'Safeguard facility data'!$Q$4:$Q$312,$A34,'Safeguard facility data'!BJ$4:BJ$312,"&gt;0")</f>
        <v>361163</v>
      </c>
      <c r="D34" s="67">
        <f>SUMIFS('Safeguard facility data'!BK$4:BK$312,'Safeguard facility data'!$Q$4:$Q$312,$A34,'Safeguard facility data'!BK$4:BK$312,"&gt;0")</f>
        <v>358979</v>
      </c>
      <c r="E34" s="67">
        <f>SUMIFS('Safeguard facility data'!BL$4:BL$312,'Safeguard facility data'!$Q$4:$Q$312,$A34,'Safeguard facility data'!BL$4:BL$312,"&gt;0")</f>
        <v>353050</v>
      </c>
      <c r="F34" s="67">
        <f>SUMIFS('Safeguard facility data'!BM$4:BM$312,'Safeguard facility data'!$Q$4:$Q$312,$A34,'Safeguard facility data'!BM$4:BM$312,"&gt;0")</f>
        <v>347300</v>
      </c>
      <c r="G34" s="61">
        <f t="shared" si="4"/>
        <v>1763700</v>
      </c>
      <c r="H34" s="91">
        <f t="shared" si="5"/>
        <v>2.587159738601665E-3</v>
      </c>
      <c r="I34" s="91"/>
      <c r="J34" s="91"/>
      <c r="K34" s="91"/>
      <c r="L34" s="91"/>
      <c r="M34" s="91"/>
      <c r="N34" s="91"/>
      <c r="O34" s="91"/>
      <c r="P34" s="91"/>
      <c r="Q34" s="91"/>
    </row>
    <row r="35" spans="1:17" ht="14.5">
      <c r="A35" s="54" t="s">
        <v>184</v>
      </c>
      <c r="B35" s="67">
        <f>SUMIFS('Safeguard facility data'!BI$4:BI$312,'Safeguard facility data'!$Q$4:$Q$312,$A35,'Safeguard facility data'!BI$4:BI$312,"&gt;0")</f>
        <v>249843</v>
      </c>
      <c r="C35" s="67">
        <f>SUMIFS('Safeguard facility data'!BJ$4:BJ$312,'Safeguard facility data'!$Q$4:$Q$312,$A35,'Safeguard facility data'!BJ$4:BJ$312,"&gt;0")</f>
        <v>274498</v>
      </c>
      <c r="D35" s="67">
        <f>SUMIFS('Safeguard facility data'!BK$4:BK$312,'Safeguard facility data'!$Q$4:$Q$312,$A35,'Safeguard facility data'!BK$4:BK$312,"&gt;0")</f>
        <v>299291</v>
      </c>
      <c r="E35" s="67">
        <f>SUMIFS('Safeguard facility data'!BL$4:BL$312,'Safeguard facility data'!$Q$4:$Q$312,$A35,'Safeguard facility data'!BL$4:BL$312,"&gt;0")</f>
        <v>351980</v>
      </c>
      <c r="F35" s="67">
        <f>SUMIFS('Safeguard facility data'!BM$4:BM$312,'Safeguard facility data'!$Q$4:$Q$312,$A35,'Safeguard facility data'!BM$4:BM$312,"&gt;0")</f>
        <v>361874</v>
      </c>
      <c r="G35" s="61">
        <f t="shared" si="4"/>
        <v>1537486</v>
      </c>
      <c r="H35" s="91">
        <f t="shared" si="5"/>
        <v>2.2553279343787034E-3</v>
      </c>
      <c r="I35" s="91"/>
      <c r="J35" s="91"/>
      <c r="K35" s="91"/>
      <c r="L35" s="91"/>
      <c r="M35" s="91"/>
      <c r="N35" s="91"/>
      <c r="O35" s="91"/>
      <c r="P35" s="91"/>
      <c r="Q35" s="91"/>
    </row>
    <row r="36" spans="1:17" ht="14.5">
      <c r="A36" s="54" t="s">
        <v>226</v>
      </c>
      <c r="B36" s="67">
        <f>SUMIFS('Safeguard facility data'!BI$4:BI$312,'Safeguard facility data'!$Q$4:$Q$312,$A36,'Safeguard facility data'!BI$4:BI$312,"&gt;0")</f>
        <v>283978</v>
      </c>
      <c r="C36" s="67">
        <f>SUMIFS('Safeguard facility data'!BJ$4:BJ$312,'Safeguard facility data'!$Q$4:$Q$312,$A36,'Safeguard facility data'!BJ$4:BJ$312,"&gt;0")</f>
        <v>303574</v>
      </c>
      <c r="D36" s="67">
        <f>SUMIFS('Safeguard facility data'!BK$4:BK$312,'Safeguard facility data'!$Q$4:$Q$312,$A36,'Safeguard facility data'!BK$4:BK$312,"&gt;0")</f>
        <v>313873</v>
      </c>
      <c r="E36" s="67">
        <f>SUMIFS('Safeguard facility data'!BL$4:BL$312,'Safeguard facility data'!$Q$4:$Q$312,$A36,'Safeguard facility data'!BL$4:BL$312,"&gt;0")</f>
        <v>330044</v>
      </c>
      <c r="F36" s="67">
        <f>SUMIFS('Safeguard facility data'!BM$4:BM$312,'Safeguard facility data'!$Q$4:$Q$312,$A36,'Safeguard facility data'!BM$4:BM$312,"&gt;0")</f>
        <v>304964</v>
      </c>
      <c r="G36" s="61">
        <f t="shared" si="4"/>
        <v>1536433</v>
      </c>
      <c r="H36" s="91">
        <f t="shared" si="5"/>
        <v>2.2537832957186437E-3</v>
      </c>
      <c r="I36" s="91"/>
      <c r="J36" s="91"/>
      <c r="K36" s="91"/>
      <c r="L36" s="91"/>
      <c r="M36" s="91"/>
      <c r="N36" s="91"/>
      <c r="O36" s="91"/>
      <c r="P36" s="91"/>
      <c r="Q36" s="91"/>
    </row>
    <row r="37" spans="1:17" ht="14.5">
      <c r="A37" s="54" t="s">
        <v>224</v>
      </c>
      <c r="B37" s="67">
        <f>SUMIFS('Safeguard facility data'!BI$4:BI$312,'Safeguard facility data'!$Q$4:$Q$312,$A37,'Safeguard facility data'!BI$4:BI$312,"&gt;0")</f>
        <v>276806</v>
      </c>
      <c r="C37" s="67">
        <f>SUMIFS('Safeguard facility data'!BJ$4:BJ$312,'Safeguard facility data'!$Q$4:$Q$312,$A37,'Safeguard facility data'!BJ$4:BJ$312,"&gt;0")</f>
        <v>178079</v>
      </c>
      <c r="D37" s="67">
        <f>SUMIFS('Safeguard facility data'!BK$4:BK$312,'Safeguard facility data'!$Q$4:$Q$312,$A37,'Safeguard facility data'!BK$4:BK$312,"&gt;0")</f>
        <v>203158</v>
      </c>
      <c r="E37" s="67">
        <f>SUMIFS('Safeguard facility data'!BL$4:BL$312,'Safeguard facility data'!$Q$4:$Q$312,$A37,'Safeguard facility data'!BL$4:BL$312,"&gt;0")</f>
        <v>229614</v>
      </c>
      <c r="F37" s="67">
        <f>SUMIFS('Safeguard facility data'!BM$4:BM$312,'Safeguard facility data'!$Q$4:$Q$312,$A37,'Safeguard facility data'!BM$4:BM$312,"&gt;0")</f>
        <v>234786</v>
      </c>
      <c r="G37" s="61">
        <f t="shared" si="4"/>
        <v>1122443</v>
      </c>
      <c r="H37" s="91">
        <f t="shared" si="5"/>
        <v>1.6465041324915059E-3</v>
      </c>
      <c r="I37" s="91"/>
      <c r="J37" s="91"/>
      <c r="K37" s="91"/>
      <c r="L37" s="91"/>
      <c r="M37" s="91"/>
      <c r="N37" s="91"/>
      <c r="O37" s="91"/>
      <c r="P37" s="91"/>
      <c r="Q37" s="91"/>
    </row>
    <row r="38" spans="1:17" ht="14.5">
      <c r="A38" s="54" t="s">
        <v>161</v>
      </c>
      <c r="B38" s="67">
        <f>SUMIFS('Safeguard facility data'!BI$4:BI$312,'Safeguard facility data'!$Q$4:$Q$312,$A38,'Safeguard facility data'!BI$4:BI$312,"&gt;0")</f>
        <v>212986</v>
      </c>
      <c r="C38" s="67">
        <f>SUMIFS('Safeguard facility data'!BJ$4:BJ$312,'Safeguard facility data'!$Q$4:$Q$312,$A38,'Safeguard facility data'!BJ$4:BJ$312,"&gt;0")</f>
        <v>229530</v>
      </c>
      <c r="D38" s="67">
        <f>SUMIFS('Safeguard facility data'!BK$4:BK$312,'Safeguard facility data'!$Q$4:$Q$312,$A38,'Safeguard facility data'!BK$4:BK$312,"&gt;0")</f>
        <v>225163</v>
      </c>
      <c r="E38" s="67">
        <f>SUMIFS('Safeguard facility data'!BL$4:BL$312,'Safeguard facility data'!$Q$4:$Q$312,$A38,'Safeguard facility data'!BL$4:BL$312,"&gt;0")</f>
        <v>204393</v>
      </c>
      <c r="F38" s="67">
        <f>SUMIFS('Safeguard facility data'!BM$4:BM$312,'Safeguard facility data'!$Q$4:$Q$312,$A38,'Safeguard facility data'!BM$4:BM$312,"&gt;0")</f>
        <v>209186</v>
      </c>
      <c r="G38" s="61">
        <f t="shared" si="4"/>
        <v>1081258</v>
      </c>
      <c r="H38" s="91">
        <f t="shared" si="5"/>
        <v>1.5860901313380729E-3</v>
      </c>
      <c r="I38" s="91"/>
      <c r="J38" s="91"/>
      <c r="K38" s="91"/>
      <c r="L38" s="91"/>
      <c r="M38" s="91"/>
      <c r="N38" s="91"/>
      <c r="O38" s="91"/>
      <c r="P38" s="91"/>
      <c r="Q38" s="91"/>
    </row>
    <row r="39" spans="1:17" ht="14.5">
      <c r="A39" s="54" t="s">
        <v>188</v>
      </c>
      <c r="B39" s="67">
        <f>SUMIFS('Safeguard facility data'!BI$4:BI$312,'Safeguard facility data'!$Q$4:$Q$312,$A39,'Safeguard facility data'!BI$4:BI$312,"&gt;0")</f>
        <v>152831</v>
      </c>
      <c r="C39" s="67">
        <f>SUMIFS('Safeguard facility data'!BJ$4:BJ$312,'Safeguard facility data'!$Q$4:$Q$312,$A39,'Safeguard facility data'!BJ$4:BJ$312,"&gt;0")</f>
        <v>225256</v>
      </c>
      <c r="D39" s="67">
        <f>SUMIFS('Safeguard facility data'!BK$4:BK$312,'Safeguard facility data'!$Q$4:$Q$312,$A39,'Safeguard facility data'!BK$4:BK$312,"&gt;0")</f>
        <v>286573</v>
      </c>
      <c r="E39" s="67">
        <f>SUMIFS('Safeguard facility data'!BL$4:BL$312,'Safeguard facility data'!$Q$4:$Q$312,$A39,'Safeguard facility data'!BL$4:BL$312,"&gt;0")</f>
        <v>58758</v>
      </c>
      <c r="F39" s="67">
        <f>SUMIFS('Safeguard facility data'!BM$4:BM$312,'Safeguard facility data'!$Q$4:$Q$312,$A39,'Safeguard facility data'!BM$4:BM$312,"&gt;0")</f>
        <v>240525</v>
      </c>
      <c r="G39" s="61">
        <f t="shared" si="4"/>
        <v>963943</v>
      </c>
      <c r="H39" s="91">
        <f t="shared" si="5"/>
        <v>1.4140015421596104E-3</v>
      </c>
      <c r="I39" s="91"/>
      <c r="J39" s="91"/>
      <c r="K39" s="91"/>
      <c r="L39" s="91"/>
      <c r="M39" s="91"/>
      <c r="N39" s="91"/>
      <c r="O39" s="91"/>
      <c r="P39" s="91"/>
      <c r="Q39" s="91"/>
    </row>
    <row r="40" spans="1:17" ht="14.5">
      <c r="A40" s="54" t="s">
        <v>255</v>
      </c>
      <c r="B40" s="67">
        <f>SUMIFS('Safeguard facility data'!BI$4:BI$312,'Safeguard facility data'!$Q$4:$Q$312,$A40,'Safeguard facility data'!BI$4:BI$312,"&gt;0")</f>
        <v>0</v>
      </c>
      <c r="C40" s="67">
        <f>SUMIFS('Safeguard facility data'!BJ$4:BJ$312,'Safeguard facility data'!$Q$4:$Q$312,$A40,'Safeguard facility data'!BJ$4:BJ$312,"&gt;0")</f>
        <v>209680</v>
      </c>
      <c r="D40" s="67">
        <f>SUMIFS('Safeguard facility data'!BK$4:BK$312,'Safeguard facility data'!$Q$4:$Q$312,$A40,'Safeguard facility data'!BK$4:BK$312,"&gt;0")</f>
        <v>201368</v>
      </c>
      <c r="E40" s="67">
        <f>SUMIFS('Safeguard facility data'!BL$4:BL$312,'Safeguard facility data'!$Q$4:$Q$312,$A40,'Safeguard facility data'!BL$4:BL$312,"&gt;0")</f>
        <v>247533</v>
      </c>
      <c r="F40" s="67">
        <f>SUMIFS('Safeguard facility data'!BM$4:BM$312,'Safeguard facility data'!$Q$4:$Q$312,$A40,'Safeguard facility data'!BM$4:BM$312,"&gt;0")</f>
        <v>146326</v>
      </c>
      <c r="G40" s="61">
        <f t="shared" si="4"/>
        <v>804907</v>
      </c>
      <c r="H40" s="91">
        <f t="shared" si="5"/>
        <v>1.1807126970111983E-3</v>
      </c>
      <c r="I40" s="91"/>
      <c r="J40" s="91"/>
      <c r="K40" s="91"/>
      <c r="L40" s="91"/>
      <c r="M40" s="91"/>
      <c r="N40" s="91"/>
      <c r="O40" s="91"/>
      <c r="P40" s="91"/>
      <c r="Q40" s="91"/>
    </row>
    <row r="41" spans="1:17" ht="14.5">
      <c r="A41" s="54" t="s">
        <v>283</v>
      </c>
      <c r="B41" s="67">
        <f>SUMIFS('Safeguard facility data'!BI$4:BI$312,'Safeguard facility data'!$Q$4:$Q$312,$A41,'Safeguard facility data'!BI$4:BI$312,"&gt;0")</f>
        <v>160099</v>
      </c>
      <c r="C41" s="67">
        <f>SUMIFS('Safeguard facility data'!BJ$4:BJ$312,'Safeguard facility data'!$Q$4:$Q$312,$A41,'Safeguard facility data'!BJ$4:BJ$312,"&gt;0")</f>
        <v>162876</v>
      </c>
      <c r="D41" s="67">
        <f>SUMIFS('Safeguard facility data'!BK$4:BK$312,'Safeguard facility data'!$Q$4:$Q$312,$A41,'Safeguard facility data'!BK$4:BK$312,"&gt;0")</f>
        <v>165032</v>
      </c>
      <c r="E41" s="67">
        <f>SUMIFS('Safeguard facility data'!BL$4:BL$312,'Safeguard facility data'!$Q$4:$Q$312,$A41,'Safeguard facility data'!BL$4:BL$312,"&gt;0")</f>
        <v>145819</v>
      </c>
      <c r="F41" s="67">
        <f>SUMIFS('Safeguard facility data'!BM$4:BM$312,'Safeguard facility data'!$Q$4:$Q$312,$A41,'Safeguard facility data'!BM$4:BM$312,"&gt;0")</f>
        <v>129262</v>
      </c>
      <c r="G41" s="61">
        <f t="shared" ref="G41:G72" si="6">SUM(B41:F41)</f>
        <v>763088</v>
      </c>
      <c r="H41" s="91">
        <f t="shared" ref="H41:H72" si="7">G41/$G$3</f>
        <v>1.1193686854964378E-3</v>
      </c>
      <c r="I41" s="91"/>
      <c r="J41" s="91"/>
      <c r="K41" s="91"/>
      <c r="L41" s="91"/>
      <c r="M41" s="91"/>
      <c r="N41" s="91"/>
      <c r="O41" s="91"/>
      <c r="P41" s="91"/>
      <c r="Q41" s="91"/>
    </row>
    <row r="42" spans="1:17" ht="14.5">
      <c r="A42" s="54" t="s">
        <v>227</v>
      </c>
      <c r="B42" s="67">
        <f>SUMIFS('Safeguard facility data'!BI$4:BI$312,'Safeguard facility data'!$Q$4:$Q$312,$A42,'Safeguard facility data'!BI$4:BI$312,"&gt;0")</f>
        <v>0</v>
      </c>
      <c r="C42" s="67">
        <f>SUMIFS('Safeguard facility data'!BJ$4:BJ$312,'Safeguard facility data'!$Q$4:$Q$312,$A42,'Safeguard facility data'!BJ$4:BJ$312,"&gt;0")</f>
        <v>0</v>
      </c>
      <c r="D42" s="67">
        <f>SUMIFS('Safeguard facility data'!BK$4:BK$312,'Safeguard facility data'!$Q$4:$Q$312,$A42,'Safeguard facility data'!BK$4:BK$312,"&gt;0")</f>
        <v>127085</v>
      </c>
      <c r="E42" s="67">
        <f>SUMIFS('Safeguard facility data'!BL$4:BL$312,'Safeguard facility data'!$Q$4:$Q$312,$A42,'Safeguard facility data'!BL$4:BL$312,"&gt;0")</f>
        <v>241526</v>
      </c>
      <c r="F42" s="67">
        <f>SUMIFS('Safeguard facility data'!BM$4:BM$312,'Safeguard facility data'!$Q$4:$Q$312,$A42,'Safeguard facility data'!BM$4:BM$312,"&gt;0")</f>
        <v>238460</v>
      </c>
      <c r="G42" s="61">
        <f t="shared" si="6"/>
        <v>607071</v>
      </c>
      <c r="H42" s="91">
        <f t="shared" si="7"/>
        <v>8.905083912641897E-4</v>
      </c>
      <c r="I42" s="91"/>
      <c r="J42" s="91"/>
      <c r="K42" s="91"/>
      <c r="L42" s="91"/>
      <c r="M42" s="91"/>
      <c r="N42" s="91"/>
      <c r="O42" s="91"/>
      <c r="P42" s="91"/>
      <c r="Q42" s="91"/>
    </row>
    <row r="43" spans="1:17" ht="14.5">
      <c r="A43" s="54" t="s">
        <v>279</v>
      </c>
      <c r="B43" s="67">
        <f>SUMIFS('Safeguard facility data'!BI$4:BI$312,'Safeguard facility data'!$Q$4:$Q$312,$A43,'Safeguard facility data'!BI$4:BI$312,"&gt;0")</f>
        <v>112964</v>
      </c>
      <c r="C43" s="67">
        <f>SUMIFS('Safeguard facility data'!BJ$4:BJ$312,'Safeguard facility data'!$Q$4:$Q$312,$A43,'Safeguard facility data'!BJ$4:BJ$312,"&gt;0")</f>
        <v>121409</v>
      </c>
      <c r="D43" s="67">
        <f>SUMIFS('Safeguard facility data'!BK$4:BK$312,'Safeguard facility data'!$Q$4:$Q$312,$A43,'Safeguard facility data'!BK$4:BK$312,"&gt;0")</f>
        <v>129126</v>
      </c>
      <c r="E43" s="67">
        <f>SUMIFS('Safeguard facility data'!BL$4:BL$312,'Safeguard facility data'!$Q$4:$Q$312,$A43,'Safeguard facility data'!BL$4:BL$312,"&gt;0")</f>
        <v>119586</v>
      </c>
      <c r="F43" s="67">
        <f>SUMIFS('Safeguard facility data'!BM$4:BM$312,'Safeguard facility data'!$Q$4:$Q$312,$A43,'Safeguard facility data'!BM$4:BM$312,"&gt;0")</f>
        <v>120324</v>
      </c>
      <c r="G43" s="61">
        <f t="shared" si="6"/>
        <v>603409</v>
      </c>
      <c r="H43" s="91">
        <f t="shared" si="7"/>
        <v>8.8513662794686857E-4</v>
      </c>
      <c r="I43" s="91"/>
      <c r="J43" s="91"/>
      <c r="K43" s="91"/>
      <c r="L43" s="91"/>
      <c r="M43" s="91"/>
      <c r="N43" s="91"/>
      <c r="O43" s="91"/>
      <c r="P43" s="91"/>
      <c r="Q43" s="91"/>
    </row>
    <row r="44" spans="1:17" ht="14.5">
      <c r="A44" s="54" t="s">
        <v>282</v>
      </c>
      <c r="B44" s="67">
        <f>SUMIFS('Safeguard facility data'!BI$4:BI$312,'Safeguard facility data'!$Q$4:$Q$312,$A44,'Safeguard facility data'!BI$4:BI$312,"&gt;0")</f>
        <v>125661</v>
      </c>
      <c r="C44" s="67">
        <f>SUMIFS('Safeguard facility data'!BJ$4:BJ$312,'Safeguard facility data'!$Q$4:$Q$312,$A44,'Safeguard facility data'!BJ$4:BJ$312,"&gt;0")</f>
        <v>119029</v>
      </c>
      <c r="D44" s="67">
        <f>SUMIFS('Safeguard facility data'!BK$4:BK$312,'Safeguard facility data'!$Q$4:$Q$312,$A44,'Safeguard facility data'!BK$4:BK$312,"&gt;0")</f>
        <v>107997</v>
      </c>
      <c r="E44" s="67">
        <f>SUMIFS('Safeguard facility data'!BL$4:BL$312,'Safeguard facility data'!$Q$4:$Q$312,$A44,'Safeguard facility data'!BL$4:BL$312,"&gt;0")</f>
        <v>111279</v>
      </c>
      <c r="F44" s="67">
        <f>SUMIFS('Safeguard facility data'!BM$4:BM$312,'Safeguard facility data'!$Q$4:$Q$312,$A44,'Safeguard facility data'!BM$4:BM$312,"&gt;0")</f>
        <v>108109</v>
      </c>
      <c r="G44" s="61">
        <f t="shared" si="6"/>
        <v>572075</v>
      </c>
      <c r="H44" s="91">
        <f t="shared" si="7"/>
        <v>8.3917299283355876E-4</v>
      </c>
      <c r="I44" s="91"/>
      <c r="J44" s="91"/>
      <c r="K44" s="91"/>
      <c r="L44" s="91"/>
      <c r="M44" s="91"/>
      <c r="N44" s="91"/>
      <c r="O44" s="91"/>
      <c r="P44" s="91"/>
      <c r="Q44" s="91"/>
    </row>
    <row r="45" spans="1:17" ht="14.5">
      <c r="A45" s="54" t="s">
        <v>281</v>
      </c>
      <c r="B45" s="67">
        <f>SUMIFS('Safeguard facility data'!BI$4:BI$312,'Safeguard facility data'!$Q$4:$Q$312,$A45,'Safeguard facility data'!BI$4:BI$312,"&gt;0")</f>
        <v>167690</v>
      </c>
      <c r="C45" s="67">
        <f>SUMIFS('Safeguard facility data'!BJ$4:BJ$312,'Safeguard facility data'!$Q$4:$Q$312,$A45,'Safeguard facility data'!BJ$4:BJ$312,"&gt;0")</f>
        <v>141046</v>
      </c>
      <c r="D45" s="67">
        <f>SUMIFS('Safeguard facility data'!BK$4:BK$312,'Safeguard facility data'!$Q$4:$Q$312,$A45,'Safeguard facility data'!BK$4:BK$312,"&gt;0")</f>
        <v>112221</v>
      </c>
      <c r="E45" s="67">
        <f>SUMIFS('Safeguard facility data'!BL$4:BL$312,'Safeguard facility data'!$Q$4:$Q$312,$A45,'Safeguard facility data'!BL$4:BL$312,"&gt;0")</f>
        <v>106195</v>
      </c>
      <c r="F45" s="67">
        <f>SUMIFS('Safeguard facility data'!BM$4:BM$312,'Safeguard facility data'!$Q$4:$Q$312,$A45,'Safeguard facility data'!BM$4:BM$312,"&gt;0")</f>
        <v>0</v>
      </c>
      <c r="G45" s="61">
        <f t="shared" si="6"/>
        <v>527152</v>
      </c>
      <c r="H45" s="91">
        <f t="shared" si="7"/>
        <v>7.7327574447091051E-4</v>
      </c>
      <c r="I45" s="91"/>
      <c r="J45" s="91"/>
      <c r="K45" s="91"/>
      <c r="L45" s="91"/>
      <c r="M45" s="91"/>
      <c r="N45" s="91"/>
      <c r="O45" s="91"/>
      <c r="P45" s="91"/>
      <c r="Q45" s="91"/>
    </row>
    <row r="46" spans="1:17" ht="14.5">
      <c r="A46" s="54" t="s">
        <v>287</v>
      </c>
      <c r="B46" s="67">
        <f>SUMIFS('Safeguard facility data'!BI$4:BI$312,'Safeguard facility data'!$Q$4:$Q$312,$A46,'Safeguard facility data'!BI$4:BI$312,"&gt;0")</f>
        <v>0</v>
      </c>
      <c r="C46" s="67">
        <f>SUMIFS('Safeguard facility data'!BJ$4:BJ$312,'Safeguard facility data'!$Q$4:$Q$312,$A46,'Safeguard facility data'!BJ$4:BJ$312,"&gt;0")</f>
        <v>0</v>
      </c>
      <c r="D46" s="67">
        <f>SUMIFS('Safeguard facility data'!BK$4:BK$312,'Safeguard facility data'!$Q$4:$Q$312,$A46,'Safeguard facility data'!BK$4:BK$312,"&gt;0")</f>
        <v>113404</v>
      </c>
      <c r="E46" s="67">
        <f>SUMIFS('Safeguard facility data'!BL$4:BL$312,'Safeguard facility data'!$Q$4:$Q$312,$A46,'Safeguard facility data'!BL$4:BL$312,"&gt;0")</f>
        <v>110628</v>
      </c>
      <c r="F46" s="67">
        <f>SUMIFS('Safeguard facility data'!BM$4:BM$312,'Safeguard facility data'!$Q$4:$Q$312,$A46,'Safeguard facility data'!BM$4:BM$312,"&gt;0")</f>
        <v>238912</v>
      </c>
      <c r="G46" s="61">
        <f t="shared" si="6"/>
        <v>462944</v>
      </c>
      <c r="H46" s="91">
        <f t="shared" si="7"/>
        <v>6.7908945854011974E-4</v>
      </c>
      <c r="I46" s="91"/>
      <c r="J46" s="91"/>
      <c r="K46" s="91"/>
      <c r="L46" s="91"/>
      <c r="M46" s="91"/>
      <c r="N46" s="91"/>
      <c r="O46" s="91"/>
      <c r="P46" s="91"/>
      <c r="Q46" s="91"/>
    </row>
    <row r="47" spans="1:17" ht="14.5">
      <c r="A47" s="54" t="s">
        <v>127</v>
      </c>
      <c r="B47" s="67">
        <f>SUMIFS('Safeguard facility data'!BI$4:BI$312,'Safeguard facility data'!$Q$4:$Q$312,$A47,'Safeguard facility data'!BI$4:BI$312,"&gt;0")</f>
        <v>0</v>
      </c>
      <c r="C47" s="67">
        <f>SUMIFS('Safeguard facility data'!BJ$4:BJ$312,'Safeguard facility data'!$Q$4:$Q$312,$A47,'Safeguard facility data'!BJ$4:BJ$312,"&gt;0")</f>
        <v>110812</v>
      </c>
      <c r="D47" s="67">
        <f>SUMIFS('Safeguard facility data'!BK$4:BK$312,'Safeguard facility data'!$Q$4:$Q$312,$A47,'Safeguard facility data'!BK$4:BK$312,"&gt;0")</f>
        <v>113575</v>
      </c>
      <c r="E47" s="67">
        <f>SUMIFS('Safeguard facility data'!BL$4:BL$312,'Safeguard facility data'!$Q$4:$Q$312,$A47,'Safeguard facility data'!BL$4:BL$312,"&gt;0")</f>
        <v>109012</v>
      </c>
      <c r="F47" s="67">
        <f>SUMIFS('Safeguard facility data'!BM$4:BM$312,'Safeguard facility data'!$Q$4:$Q$312,$A47,'Safeguard facility data'!BM$4:BM$312,"&gt;0")</f>
        <v>113227</v>
      </c>
      <c r="G47" s="61">
        <f t="shared" si="6"/>
        <v>446626</v>
      </c>
      <c r="H47" s="91">
        <f t="shared" si="7"/>
        <v>6.551526934357925E-4</v>
      </c>
      <c r="I47" s="91"/>
      <c r="J47" s="91"/>
      <c r="K47" s="91"/>
      <c r="L47" s="91"/>
      <c r="M47" s="91"/>
      <c r="N47" s="91"/>
      <c r="O47" s="91"/>
      <c r="P47" s="91"/>
      <c r="Q47" s="91"/>
    </row>
    <row r="48" spans="1:17" ht="14.5">
      <c r="A48" s="54" t="s">
        <v>163</v>
      </c>
      <c r="B48" s="67">
        <f>SUMIFS('Safeguard facility data'!BI$4:BI$312,'Safeguard facility data'!$Q$4:$Q$312,$A48,'Safeguard facility data'!BI$4:BI$312,"&gt;0")</f>
        <v>0</v>
      </c>
      <c r="C48" s="67">
        <f>SUMIFS('Safeguard facility data'!BJ$4:BJ$312,'Safeguard facility data'!$Q$4:$Q$312,$A48,'Safeguard facility data'!BJ$4:BJ$312,"&gt;0")</f>
        <v>0</v>
      </c>
      <c r="D48" s="67">
        <f>SUMIFS('Safeguard facility data'!BK$4:BK$312,'Safeguard facility data'!$Q$4:$Q$312,$A48,'Safeguard facility data'!BK$4:BK$312,"&gt;0")</f>
        <v>0</v>
      </c>
      <c r="E48" s="67">
        <f>SUMIFS('Safeguard facility data'!BL$4:BL$312,'Safeguard facility data'!$Q$4:$Q$312,$A48,'Safeguard facility data'!BL$4:BL$312,"&gt;0")</f>
        <v>114936</v>
      </c>
      <c r="F48" s="67">
        <f>SUMIFS('Safeguard facility data'!BM$4:BM$312,'Safeguard facility data'!$Q$4:$Q$312,$A48,'Safeguard facility data'!BM$4:BM$312,"&gt;0")</f>
        <v>47125</v>
      </c>
      <c r="G48" s="61">
        <f t="shared" si="6"/>
        <v>162061</v>
      </c>
      <c r="H48" s="91">
        <f t="shared" si="7"/>
        <v>2.3772619742446245E-4</v>
      </c>
      <c r="I48" s="91"/>
      <c r="J48" s="91"/>
      <c r="K48" s="91"/>
      <c r="L48" s="91"/>
      <c r="M48" s="91"/>
      <c r="N48" s="91"/>
      <c r="O48" s="91"/>
      <c r="P48" s="91"/>
      <c r="Q48" s="91"/>
    </row>
    <row r="49" spans="1:17" ht="14.5">
      <c r="A49" s="54" t="s">
        <v>230</v>
      </c>
      <c r="B49" s="67">
        <f>SUMIFS('Safeguard facility data'!BI$4:BI$312,'Safeguard facility data'!$Q$4:$Q$312,$A49,'Safeguard facility data'!BI$4:BI$312,"&gt;0")</f>
        <v>0</v>
      </c>
      <c r="C49" s="67">
        <f>SUMIFS('Safeguard facility data'!BJ$4:BJ$312,'Safeguard facility data'!$Q$4:$Q$312,$A49,'Safeguard facility data'!BJ$4:BJ$312,"&gt;0")</f>
        <v>0</v>
      </c>
      <c r="D49" s="67">
        <f>SUMIFS('Safeguard facility data'!BK$4:BK$312,'Safeguard facility data'!$Q$4:$Q$312,$A49,'Safeguard facility data'!BK$4:BK$312,"&gt;0")</f>
        <v>0</v>
      </c>
      <c r="E49" s="67">
        <f>SUMIFS('Safeguard facility data'!BL$4:BL$312,'Safeguard facility data'!$Q$4:$Q$312,$A49,'Safeguard facility data'!BL$4:BL$312,"&gt;0")</f>
        <v>0</v>
      </c>
      <c r="F49" s="67">
        <f>SUMIFS('Safeguard facility data'!BM$4:BM$312,'Safeguard facility data'!$Q$4:$Q$312,$A49,'Safeguard facility data'!BM$4:BM$312,"&gt;0")</f>
        <v>0</v>
      </c>
      <c r="G49" s="61">
        <f t="shared" si="6"/>
        <v>0</v>
      </c>
      <c r="H49" s="91">
        <f t="shared" si="7"/>
        <v>0</v>
      </c>
      <c r="I49" s="91"/>
      <c r="J49" s="91"/>
      <c r="K49" s="91"/>
      <c r="L49" s="91"/>
      <c r="M49" s="91"/>
      <c r="N49" s="91"/>
      <c r="O49" s="91"/>
      <c r="P49" s="91"/>
      <c r="Q49" s="91"/>
    </row>
    <row r="50" spans="1:17" ht="14.5">
      <c r="A50" s="54" t="s">
        <v>135</v>
      </c>
      <c r="B50" s="67">
        <f>SUMIFS('Safeguard facility data'!BI$4:BI$312,'Safeguard facility data'!$Q$4:$Q$312,$A50,'Safeguard facility data'!BI$4:BI$312,"&gt;0")</f>
        <v>0</v>
      </c>
      <c r="C50" s="67">
        <f>SUMIFS('Safeguard facility data'!BJ$4:BJ$312,'Safeguard facility data'!$Q$4:$Q$312,$A50,'Safeguard facility data'!BJ$4:BJ$312,"&gt;0")</f>
        <v>0</v>
      </c>
      <c r="D50" s="67">
        <f>SUMIFS('Safeguard facility data'!BK$4:BK$312,'Safeguard facility data'!$Q$4:$Q$312,$A50,'Safeguard facility data'!BK$4:BK$312,"&gt;0")</f>
        <v>0</v>
      </c>
      <c r="E50" s="67">
        <f>SUMIFS('Safeguard facility data'!BL$4:BL$312,'Safeguard facility data'!$Q$4:$Q$312,$A50,'Safeguard facility data'!BL$4:BL$312,"&gt;0")</f>
        <v>0</v>
      </c>
      <c r="F50" s="67">
        <f>SUMIFS('Safeguard facility data'!BM$4:BM$312,'Safeguard facility data'!$Q$4:$Q$312,$A50,'Safeguard facility data'!BM$4:BM$312,"&gt;0")</f>
        <v>0</v>
      </c>
      <c r="G50" s="61">
        <f t="shared" si="6"/>
        <v>0</v>
      </c>
      <c r="H50" s="91">
        <f t="shared" si="7"/>
        <v>0</v>
      </c>
      <c r="I50" s="91"/>
      <c r="J50" s="91"/>
      <c r="K50" s="91"/>
      <c r="L50" s="91"/>
      <c r="M50" s="91"/>
      <c r="N50" s="91"/>
      <c r="O50" s="91"/>
      <c r="P50" s="91"/>
      <c r="Q50" s="91"/>
    </row>
    <row r="51" spans="1:17" ht="14.5">
      <c r="A51" s="54" t="s">
        <v>273</v>
      </c>
      <c r="B51" s="67">
        <f>SUMIFS('Safeguard facility data'!BI$4:BI$312,'Safeguard facility data'!$Q$4:$Q$312,$A51,'Safeguard facility data'!BI$4:BI$312,"&gt;0")</f>
        <v>0</v>
      </c>
      <c r="C51" s="67">
        <f>SUMIFS('Safeguard facility data'!BJ$4:BJ$312,'Safeguard facility data'!$Q$4:$Q$312,$A51,'Safeguard facility data'!BJ$4:BJ$312,"&gt;0")</f>
        <v>0</v>
      </c>
      <c r="D51" s="67">
        <f>SUMIFS('Safeguard facility data'!BK$4:BK$312,'Safeguard facility data'!$Q$4:$Q$312,$A51,'Safeguard facility data'!BK$4:BK$312,"&gt;0")</f>
        <v>0</v>
      </c>
      <c r="E51" s="67">
        <f>SUMIFS('Safeguard facility data'!BL$4:BL$312,'Safeguard facility data'!$Q$4:$Q$312,$A51,'Safeguard facility data'!BL$4:BL$312,"&gt;0")</f>
        <v>0</v>
      </c>
      <c r="F51" s="67">
        <f>SUMIFS('Safeguard facility data'!BM$4:BM$312,'Safeguard facility data'!$Q$4:$Q$312,$A51,'Safeguard facility data'!BM$4:BM$312,"&gt;0")</f>
        <v>0</v>
      </c>
      <c r="G51" s="61">
        <f t="shared" si="6"/>
        <v>0</v>
      </c>
      <c r="H51" s="91">
        <f t="shared" si="7"/>
        <v>0</v>
      </c>
      <c r="I51" s="91"/>
      <c r="J51" s="91"/>
      <c r="K51" s="91"/>
      <c r="L51" s="91"/>
      <c r="M51" s="91"/>
      <c r="N51" s="91"/>
      <c r="O51" s="91"/>
      <c r="P51" s="91"/>
      <c r="Q51" s="91"/>
    </row>
    <row r="52" spans="1:17" ht="14.5">
      <c r="A52" s="54" t="s">
        <v>28</v>
      </c>
      <c r="B52" s="67">
        <f>SUMIFS('Safeguard facility data'!BI$4:BI$312,'Safeguard facility data'!$Q$4:$Q$312,$A52,'Safeguard facility data'!BI$4:BI$312,"&gt;0")</f>
        <v>0</v>
      </c>
      <c r="C52" s="67">
        <f>SUMIFS('Safeguard facility data'!BJ$4:BJ$312,'Safeguard facility data'!$Q$4:$Q$312,$A52,'Safeguard facility data'!BJ$4:BJ$312,"&gt;0")</f>
        <v>0</v>
      </c>
      <c r="D52" s="67">
        <f>SUMIFS('Safeguard facility data'!BK$4:BK$312,'Safeguard facility data'!$Q$4:$Q$312,$A52,'Safeguard facility data'!BK$4:BK$312,"&gt;0")</f>
        <v>0</v>
      </c>
      <c r="E52" s="67">
        <f>SUMIFS('Safeguard facility data'!BL$4:BL$312,'Safeguard facility data'!$Q$4:$Q$312,$A52,'Safeguard facility data'!BL$4:BL$312,"&gt;0")</f>
        <v>0</v>
      </c>
      <c r="F52" s="67">
        <f>SUMIFS('Safeguard facility data'!BM$4:BM$312,'Safeguard facility data'!$Q$4:$Q$312,$A52,'Safeguard facility data'!BM$4:BM$312,"&gt;0")</f>
        <v>0</v>
      </c>
      <c r="G52" s="61">
        <f t="shared" si="6"/>
        <v>0</v>
      </c>
      <c r="H52" s="91">
        <f t="shared" si="7"/>
        <v>0</v>
      </c>
      <c r="I52" s="91"/>
      <c r="J52" s="91"/>
      <c r="K52" s="91"/>
      <c r="L52" s="91"/>
      <c r="M52" s="91"/>
      <c r="N52" s="91"/>
      <c r="O52" s="91"/>
      <c r="P52" s="91"/>
      <c r="Q52" s="91"/>
    </row>
    <row r="53" spans="1:17" ht="14.5">
      <c r="A53" s="54" t="s">
        <v>88</v>
      </c>
      <c r="B53" s="67">
        <f>SUMIFS('Safeguard facility data'!BI$4:BI$312,'Safeguard facility data'!$Q$4:$Q$312,$A53,'Safeguard facility data'!BI$4:BI$312,"&gt;0")</f>
        <v>0</v>
      </c>
      <c r="C53" s="67">
        <f>SUMIFS('Safeguard facility data'!BJ$4:BJ$312,'Safeguard facility data'!$Q$4:$Q$312,$A53,'Safeguard facility data'!BJ$4:BJ$312,"&gt;0")</f>
        <v>0</v>
      </c>
      <c r="D53" s="67">
        <f>SUMIFS('Safeguard facility data'!BK$4:BK$312,'Safeguard facility data'!$Q$4:$Q$312,$A53,'Safeguard facility data'!BK$4:BK$312,"&gt;0")</f>
        <v>0</v>
      </c>
      <c r="E53" s="67">
        <f>SUMIFS('Safeguard facility data'!BL$4:BL$312,'Safeguard facility data'!$Q$4:$Q$312,$A53,'Safeguard facility data'!BL$4:BL$312,"&gt;0")</f>
        <v>0</v>
      </c>
      <c r="F53" s="67">
        <f>SUMIFS('Safeguard facility data'!BM$4:BM$312,'Safeguard facility data'!$Q$4:$Q$312,$A53,'Safeguard facility data'!BM$4:BM$312,"&gt;0")</f>
        <v>0</v>
      </c>
      <c r="G53" s="61">
        <f t="shared" si="6"/>
        <v>0</v>
      </c>
      <c r="H53" s="91">
        <f t="shared" si="7"/>
        <v>0</v>
      </c>
      <c r="I53" s="91"/>
      <c r="J53" s="91"/>
      <c r="K53" s="91"/>
      <c r="L53" s="91"/>
      <c r="M53" s="91"/>
      <c r="N53" s="91"/>
      <c r="O53" s="91"/>
      <c r="P53" s="91"/>
      <c r="Q53" s="91"/>
    </row>
    <row r="54" spans="1:17" ht="14.5">
      <c r="A54" s="54" t="s">
        <v>91</v>
      </c>
      <c r="B54" s="67">
        <f>SUMIFS('Safeguard facility data'!BI$4:BI$312,'Safeguard facility data'!$Q$4:$Q$312,$A54,'Safeguard facility data'!BI$4:BI$312,"&gt;0")</f>
        <v>0</v>
      </c>
      <c r="C54" s="67">
        <f>SUMIFS('Safeguard facility data'!BJ$4:BJ$312,'Safeguard facility data'!$Q$4:$Q$312,$A54,'Safeguard facility data'!BJ$4:BJ$312,"&gt;0")</f>
        <v>0</v>
      </c>
      <c r="D54" s="67">
        <f>SUMIFS('Safeguard facility data'!BK$4:BK$312,'Safeguard facility data'!$Q$4:$Q$312,$A54,'Safeguard facility data'!BK$4:BK$312,"&gt;0")</f>
        <v>0</v>
      </c>
      <c r="E54" s="67">
        <f>SUMIFS('Safeguard facility data'!BL$4:BL$312,'Safeguard facility data'!$Q$4:$Q$312,$A54,'Safeguard facility data'!BL$4:BL$312,"&gt;0")</f>
        <v>0</v>
      </c>
      <c r="F54" s="67">
        <f>SUMIFS('Safeguard facility data'!BM$4:BM$312,'Safeguard facility data'!$Q$4:$Q$312,$A54,'Safeguard facility data'!BM$4:BM$312,"&gt;0")</f>
        <v>0</v>
      </c>
      <c r="G54" s="61">
        <f t="shared" si="6"/>
        <v>0</v>
      </c>
      <c r="H54" s="91">
        <f t="shared" si="7"/>
        <v>0</v>
      </c>
      <c r="I54" s="91"/>
      <c r="J54" s="91"/>
      <c r="K54" s="91"/>
      <c r="L54" s="91"/>
      <c r="M54" s="91"/>
      <c r="N54" s="91"/>
      <c r="O54" s="91"/>
      <c r="P54" s="91"/>
      <c r="Q54" s="91"/>
    </row>
    <row r="55" spans="1:17" ht="14.5">
      <c r="A55" s="54" t="s">
        <v>141</v>
      </c>
      <c r="B55" s="67">
        <f>SUMIFS('Safeguard facility data'!BI$4:BI$312,'Safeguard facility data'!$Q$4:$Q$312,$A55,'Safeguard facility data'!BI$4:BI$312,"&gt;0")</f>
        <v>0</v>
      </c>
      <c r="C55" s="67">
        <f>SUMIFS('Safeguard facility data'!BJ$4:BJ$312,'Safeguard facility data'!$Q$4:$Q$312,$A55,'Safeguard facility data'!BJ$4:BJ$312,"&gt;0")</f>
        <v>0</v>
      </c>
      <c r="D55" s="67">
        <f>SUMIFS('Safeguard facility data'!BK$4:BK$312,'Safeguard facility data'!$Q$4:$Q$312,$A55,'Safeguard facility data'!BK$4:BK$312,"&gt;0")</f>
        <v>0</v>
      </c>
      <c r="E55" s="67">
        <f>SUMIFS('Safeguard facility data'!BL$4:BL$312,'Safeguard facility data'!$Q$4:$Q$312,$A55,'Safeguard facility data'!BL$4:BL$312,"&gt;0")</f>
        <v>0</v>
      </c>
      <c r="F55" s="67">
        <f>SUMIFS('Safeguard facility data'!BM$4:BM$312,'Safeguard facility data'!$Q$4:$Q$312,$A55,'Safeguard facility data'!BM$4:BM$312,"&gt;0")</f>
        <v>0</v>
      </c>
      <c r="G55" s="61">
        <f t="shared" si="6"/>
        <v>0</v>
      </c>
      <c r="H55" s="91">
        <f t="shared" si="7"/>
        <v>0</v>
      </c>
      <c r="I55" s="91"/>
      <c r="J55" s="91"/>
      <c r="K55" s="91"/>
      <c r="L55" s="91"/>
      <c r="M55" s="91"/>
      <c r="N55" s="91"/>
      <c r="O55" s="91"/>
      <c r="P55" s="91"/>
      <c r="Q55" s="91"/>
    </row>
    <row r="56" spans="1:17" ht="14.5">
      <c r="A56" s="54" t="s">
        <v>142</v>
      </c>
      <c r="B56" s="67">
        <f>SUMIFS('Safeguard facility data'!BI$4:BI$312,'Safeguard facility data'!$Q$4:$Q$312,$A56,'Safeguard facility data'!BI$4:BI$312,"&gt;0")</f>
        <v>0</v>
      </c>
      <c r="C56" s="67">
        <f>SUMIFS('Safeguard facility data'!BJ$4:BJ$312,'Safeguard facility data'!$Q$4:$Q$312,$A56,'Safeguard facility data'!BJ$4:BJ$312,"&gt;0")</f>
        <v>0</v>
      </c>
      <c r="D56" s="67">
        <f>SUMIFS('Safeguard facility data'!BK$4:BK$312,'Safeguard facility data'!$Q$4:$Q$312,$A56,'Safeguard facility data'!BK$4:BK$312,"&gt;0")</f>
        <v>0</v>
      </c>
      <c r="E56" s="67">
        <f>SUMIFS('Safeguard facility data'!BL$4:BL$312,'Safeguard facility data'!$Q$4:$Q$312,$A56,'Safeguard facility data'!BL$4:BL$312,"&gt;0")</f>
        <v>0</v>
      </c>
      <c r="F56" s="67">
        <f>SUMIFS('Safeguard facility data'!BM$4:BM$312,'Safeguard facility data'!$Q$4:$Q$312,$A56,'Safeguard facility data'!BM$4:BM$312,"&gt;0")</f>
        <v>0</v>
      </c>
      <c r="G56" s="61">
        <f t="shared" si="6"/>
        <v>0</v>
      </c>
      <c r="H56" s="91">
        <f t="shared" si="7"/>
        <v>0</v>
      </c>
      <c r="I56" s="91"/>
      <c r="J56" s="91"/>
      <c r="K56" s="91"/>
      <c r="L56" s="91"/>
      <c r="M56" s="91"/>
      <c r="N56" s="91"/>
      <c r="O56" s="91"/>
      <c r="P56" s="91"/>
      <c r="Q56" s="91"/>
    </row>
    <row r="57" spans="1:17" ht="14.5">
      <c r="A57" s="54" t="s">
        <v>231</v>
      </c>
      <c r="B57" s="67">
        <f>SUMIFS('Safeguard facility data'!BI$4:BI$312,'Safeguard facility data'!$Q$4:$Q$312,$A57,'Safeguard facility data'!BI$4:BI$312,"&gt;0")</f>
        <v>0</v>
      </c>
      <c r="C57" s="67">
        <f>SUMIFS('Safeguard facility data'!BJ$4:BJ$312,'Safeguard facility data'!$Q$4:$Q$312,$A57,'Safeguard facility data'!BJ$4:BJ$312,"&gt;0")</f>
        <v>0</v>
      </c>
      <c r="D57" s="67">
        <f>SUMIFS('Safeguard facility data'!BK$4:BK$312,'Safeguard facility data'!$Q$4:$Q$312,$A57,'Safeguard facility data'!BK$4:BK$312,"&gt;0")</f>
        <v>0</v>
      </c>
      <c r="E57" s="67">
        <f>SUMIFS('Safeguard facility data'!BL$4:BL$312,'Safeguard facility data'!$Q$4:$Q$312,$A57,'Safeguard facility data'!BL$4:BL$312,"&gt;0")</f>
        <v>0</v>
      </c>
      <c r="F57" s="67">
        <f>SUMIFS('Safeguard facility data'!BM$4:BM$312,'Safeguard facility data'!$Q$4:$Q$312,$A57,'Safeguard facility data'!BM$4:BM$312,"&gt;0")</f>
        <v>0</v>
      </c>
      <c r="G57" s="61">
        <f t="shared" si="6"/>
        <v>0</v>
      </c>
      <c r="H57" s="91">
        <f t="shared" si="7"/>
        <v>0</v>
      </c>
      <c r="I57" s="91"/>
      <c r="J57" s="91"/>
      <c r="K57" s="91"/>
      <c r="L57" s="91"/>
      <c r="M57" s="91"/>
      <c r="N57" s="91"/>
      <c r="O57" s="91"/>
      <c r="P57" s="91"/>
      <c r="Q57" s="91"/>
    </row>
    <row r="58" spans="1:17" ht="14.5">
      <c r="A58" s="54" t="s">
        <v>143</v>
      </c>
      <c r="B58" s="67">
        <f>SUMIFS('Safeguard facility data'!BI$4:BI$312,'Safeguard facility data'!$Q$4:$Q$312,$A58,'Safeguard facility data'!BI$4:BI$312,"&gt;0")</f>
        <v>0</v>
      </c>
      <c r="C58" s="67">
        <f>SUMIFS('Safeguard facility data'!BJ$4:BJ$312,'Safeguard facility data'!$Q$4:$Q$312,$A58,'Safeguard facility data'!BJ$4:BJ$312,"&gt;0")</f>
        <v>0</v>
      </c>
      <c r="D58" s="67">
        <f>SUMIFS('Safeguard facility data'!BK$4:BK$312,'Safeguard facility data'!$Q$4:$Q$312,$A58,'Safeguard facility data'!BK$4:BK$312,"&gt;0")</f>
        <v>0</v>
      </c>
      <c r="E58" s="67">
        <f>SUMIFS('Safeguard facility data'!BL$4:BL$312,'Safeguard facility data'!$Q$4:$Q$312,$A58,'Safeguard facility data'!BL$4:BL$312,"&gt;0")</f>
        <v>0</v>
      </c>
      <c r="F58" s="67">
        <f>SUMIFS('Safeguard facility data'!BM$4:BM$312,'Safeguard facility data'!$Q$4:$Q$312,$A58,'Safeguard facility data'!BM$4:BM$312,"&gt;0")</f>
        <v>0</v>
      </c>
      <c r="G58" s="61">
        <f t="shared" si="6"/>
        <v>0</v>
      </c>
      <c r="H58" s="91">
        <f t="shared" si="7"/>
        <v>0</v>
      </c>
      <c r="I58" s="91"/>
      <c r="J58" s="91"/>
      <c r="K58" s="91"/>
      <c r="L58" s="91"/>
      <c r="M58" s="91"/>
      <c r="N58" s="91"/>
      <c r="O58" s="91"/>
      <c r="P58" s="91"/>
      <c r="Q58" s="91"/>
    </row>
    <row r="59" spans="1:17" ht="14.5">
      <c r="A59" s="54" t="s">
        <v>144</v>
      </c>
      <c r="B59" s="67">
        <f>SUMIFS('Safeguard facility data'!BI$4:BI$312,'Safeguard facility data'!$Q$4:$Q$312,$A59,'Safeguard facility data'!BI$4:BI$312,"&gt;0")</f>
        <v>0</v>
      </c>
      <c r="C59" s="67">
        <f>SUMIFS('Safeguard facility data'!BJ$4:BJ$312,'Safeguard facility data'!$Q$4:$Q$312,$A59,'Safeguard facility data'!BJ$4:BJ$312,"&gt;0")</f>
        <v>0</v>
      </c>
      <c r="D59" s="67">
        <f>SUMIFS('Safeguard facility data'!BK$4:BK$312,'Safeguard facility data'!$Q$4:$Q$312,$A59,'Safeguard facility data'!BK$4:BK$312,"&gt;0")</f>
        <v>0</v>
      </c>
      <c r="E59" s="67">
        <f>SUMIFS('Safeguard facility data'!BL$4:BL$312,'Safeguard facility data'!$Q$4:$Q$312,$A59,'Safeguard facility data'!BL$4:BL$312,"&gt;0")</f>
        <v>0</v>
      </c>
      <c r="F59" s="67">
        <f>SUMIFS('Safeguard facility data'!BM$4:BM$312,'Safeguard facility data'!$Q$4:$Q$312,$A59,'Safeguard facility data'!BM$4:BM$312,"&gt;0")</f>
        <v>0</v>
      </c>
      <c r="G59" s="61">
        <f t="shared" si="6"/>
        <v>0</v>
      </c>
      <c r="H59" s="91">
        <f t="shared" si="7"/>
        <v>0</v>
      </c>
      <c r="I59" s="91"/>
      <c r="J59" s="91"/>
      <c r="K59" s="91"/>
      <c r="L59" s="91"/>
      <c r="M59" s="91"/>
      <c r="N59" s="91"/>
      <c r="O59" s="91"/>
      <c r="P59" s="91"/>
      <c r="Q59" s="91"/>
    </row>
    <row r="60" spans="1:17" ht="14.5">
      <c r="A60" s="54" t="s">
        <v>145</v>
      </c>
      <c r="B60" s="67">
        <f>SUMIFS('Safeguard facility data'!BI$4:BI$312,'Safeguard facility data'!$Q$4:$Q$312,$A60,'Safeguard facility data'!BI$4:BI$312,"&gt;0")</f>
        <v>0</v>
      </c>
      <c r="C60" s="67">
        <f>SUMIFS('Safeguard facility data'!BJ$4:BJ$312,'Safeguard facility data'!$Q$4:$Q$312,$A60,'Safeguard facility data'!BJ$4:BJ$312,"&gt;0")</f>
        <v>0</v>
      </c>
      <c r="D60" s="67">
        <f>SUMIFS('Safeguard facility data'!BK$4:BK$312,'Safeguard facility data'!$Q$4:$Q$312,$A60,'Safeguard facility data'!BK$4:BK$312,"&gt;0")</f>
        <v>0</v>
      </c>
      <c r="E60" s="67">
        <f>SUMIFS('Safeguard facility data'!BL$4:BL$312,'Safeguard facility data'!$Q$4:$Q$312,$A60,'Safeguard facility data'!BL$4:BL$312,"&gt;0")</f>
        <v>0</v>
      </c>
      <c r="F60" s="67">
        <f>SUMIFS('Safeguard facility data'!BM$4:BM$312,'Safeguard facility data'!$Q$4:$Q$312,$A60,'Safeguard facility data'!BM$4:BM$312,"&gt;0")</f>
        <v>0</v>
      </c>
      <c r="G60" s="61">
        <f t="shared" si="6"/>
        <v>0</v>
      </c>
      <c r="H60" s="91">
        <f t="shared" si="7"/>
        <v>0</v>
      </c>
      <c r="I60" s="91"/>
      <c r="J60" s="91"/>
      <c r="K60" s="91"/>
      <c r="L60" s="91"/>
      <c r="M60" s="91"/>
      <c r="N60" s="91"/>
      <c r="O60" s="91"/>
      <c r="P60" s="91"/>
      <c r="Q60" s="91"/>
    </row>
    <row r="61" spans="1:17" ht="14.5">
      <c r="A61" s="54" t="s">
        <v>232</v>
      </c>
      <c r="B61" s="67">
        <f>SUMIFS('Safeguard facility data'!BI$4:BI$312,'Safeguard facility data'!$Q$4:$Q$312,$A61,'Safeguard facility data'!BI$4:BI$312,"&gt;0")</f>
        <v>0</v>
      </c>
      <c r="C61" s="67">
        <f>SUMIFS('Safeguard facility data'!BJ$4:BJ$312,'Safeguard facility data'!$Q$4:$Q$312,$A61,'Safeguard facility data'!BJ$4:BJ$312,"&gt;0")</f>
        <v>0</v>
      </c>
      <c r="D61" s="67">
        <f>SUMIFS('Safeguard facility data'!BK$4:BK$312,'Safeguard facility data'!$Q$4:$Q$312,$A61,'Safeguard facility data'!BK$4:BK$312,"&gt;0")</f>
        <v>0</v>
      </c>
      <c r="E61" s="67">
        <f>SUMIFS('Safeguard facility data'!BL$4:BL$312,'Safeguard facility data'!$Q$4:$Q$312,$A61,'Safeguard facility data'!BL$4:BL$312,"&gt;0")</f>
        <v>0</v>
      </c>
      <c r="F61" s="67">
        <f>SUMIFS('Safeguard facility data'!BM$4:BM$312,'Safeguard facility data'!$Q$4:$Q$312,$A61,'Safeguard facility data'!BM$4:BM$312,"&gt;0")</f>
        <v>0</v>
      </c>
      <c r="G61" s="61">
        <f t="shared" si="6"/>
        <v>0</v>
      </c>
      <c r="H61" s="91">
        <f t="shared" si="7"/>
        <v>0</v>
      </c>
      <c r="I61" s="91"/>
      <c r="J61" s="91"/>
      <c r="K61" s="91"/>
      <c r="L61" s="91"/>
      <c r="M61" s="91"/>
      <c r="N61" s="91"/>
      <c r="O61" s="91"/>
      <c r="P61" s="91"/>
      <c r="Q61" s="91"/>
    </row>
    <row r="62" spans="1:17" ht="14.5">
      <c r="A62" s="54" t="s">
        <v>146</v>
      </c>
      <c r="B62" s="67">
        <f>SUMIFS('Safeguard facility data'!BI$4:BI$312,'Safeguard facility data'!$Q$4:$Q$312,$A62,'Safeguard facility data'!BI$4:BI$312,"&gt;0")</f>
        <v>0</v>
      </c>
      <c r="C62" s="67">
        <f>SUMIFS('Safeguard facility data'!BJ$4:BJ$312,'Safeguard facility data'!$Q$4:$Q$312,$A62,'Safeguard facility data'!BJ$4:BJ$312,"&gt;0")</f>
        <v>0</v>
      </c>
      <c r="D62" s="67">
        <f>SUMIFS('Safeguard facility data'!BK$4:BK$312,'Safeguard facility data'!$Q$4:$Q$312,$A62,'Safeguard facility data'!BK$4:BK$312,"&gt;0")</f>
        <v>0</v>
      </c>
      <c r="E62" s="67">
        <f>SUMIFS('Safeguard facility data'!BL$4:BL$312,'Safeguard facility data'!$Q$4:$Q$312,$A62,'Safeguard facility data'!BL$4:BL$312,"&gt;0")</f>
        <v>0</v>
      </c>
      <c r="F62" s="67">
        <f>SUMIFS('Safeguard facility data'!BM$4:BM$312,'Safeguard facility data'!$Q$4:$Q$312,$A62,'Safeguard facility data'!BM$4:BM$312,"&gt;0")</f>
        <v>0</v>
      </c>
      <c r="G62" s="61">
        <f t="shared" si="6"/>
        <v>0</v>
      </c>
      <c r="H62" s="91">
        <f t="shared" si="7"/>
        <v>0</v>
      </c>
      <c r="I62" s="91"/>
      <c r="J62" s="91"/>
      <c r="K62" s="91"/>
      <c r="L62" s="91"/>
      <c r="M62" s="91"/>
      <c r="N62" s="91"/>
      <c r="O62" s="91"/>
      <c r="P62" s="91"/>
      <c r="Q62" s="91"/>
    </row>
    <row r="63" spans="1:17" ht="14.5">
      <c r="A63" s="54" t="s">
        <v>147</v>
      </c>
      <c r="B63" s="67">
        <f>SUMIFS('Safeguard facility data'!BI$4:BI$312,'Safeguard facility data'!$Q$4:$Q$312,$A63,'Safeguard facility data'!BI$4:BI$312,"&gt;0")</f>
        <v>0</v>
      </c>
      <c r="C63" s="67">
        <f>SUMIFS('Safeguard facility data'!BJ$4:BJ$312,'Safeguard facility data'!$Q$4:$Q$312,$A63,'Safeguard facility data'!BJ$4:BJ$312,"&gt;0")</f>
        <v>0</v>
      </c>
      <c r="D63" s="67">
        <f>SUMIFS('Safeguard facility data'!BK$4:BK$312,'Safeguard facility data'!$Q$4:$Q$312,$A63,'Safeguard facility data'!BK$4:BK$312,"&gt;0")</f>
        <v>0</v>
      </c>
      <c r="E63" s="67">
        <f>SUMIFS('Safeguard facility data'!BL$4:BL$312,'Safeguard facility data'!$Q$4:$Q$312,$A63,'Safeguard facility data'!BL$4:BL$312,"&gt;0")</f>
        <v>0</v>
      </c>
      <c r="F63" s="67">
        <f>SUMIFS('Safeguard facility data'!BM$4:BM$312,'Safeguard facility data'!$Q$4:$Q$312,$A63,'Safeguard facility data'!BM$4:BM$312,"&gt;0")</f>
        <v>0</v>
      </c>
      <c r="G63" s="61">
        <f t="shared" si="6"/>
        <v>0</v>
      </c>
      <c r="H63" s="91">
        <f t="shared" si="7"/>
        <v>0</v>
      </c>
      <c r="I63" s="91"/>
      <c r="J63" s="91"/>
      <c r="K63" s="91"/>
      <c r="L63" s="91"/>
      <c r="M63" s="91"/>
      <c r="N63" s="91"/>
      <c r="O63" s="91"/>
      <c r="P63" s="91"/>
      <c r="Q63" s="91"/>
    </row>
    <row r="64" spans="1:17" ht="14.5">
      <c r="A64" s="54" t="s">
        <v>148</v>
      </c>
      <c r="B64" s="67">
        <f>SUMIFS('Safeguard facility data'!BI$4:BI$312,'Safeguard facility data'!$Q$4:$Q$312,$A64,'Safeguard facility data'!BI$4:BI$312,"&gt;0")</f>
        <v>0</v>
      </c>
      <c r="C64" s="67">
        <f>SUMIFS('Safeguard facility data'!BJ$4:BJ$312,'Safeguard facility data'!$Q$4:$Q$312,$A64,'Safeguard facility data'!BJ$4:BJ$312,"&gt;0")</f>
        <v>0</v>
      </c>
      <c r="D64" s="67">
        <f>SUMIFS('Safeguard facility data'!BK$4:BK$312,'Safeguard facility data'!$Q$4:$Q$312,$A64,'Safeguard facility data'!BK$4:BK$312,"&gt;0")</f>
        <v>0</v>
      </c>
      <c r="E64" s="67">
        <f>SUMIFS('Safeguard facility data'!BL$4:BL$312,'Safeguard facility data'!$Q$4:$Q$312,$A64,'Safeguard facility data'!BL$4:BL$312,"&gt;0")</f>
        <v>0</v>
      </c>
      <c r="F64" s="67">
        <f>SUMIFS('Safeguard facility data'!BM$4:BM$312,'Safeguard facility data'!$Q$4:$Q$312,$A64,'Safeguard facility data'!BM$4:BM$312,"&gt;0")</f>
        <v>0</v>
      </c>
      <c r="G64" s="61">
        <f t="shared" si="6"/>
        <v>0</v>
      </c>
      <c r="H64" s="91">
        <f t="shared" si="7"/>
        <v>0</v>
      </c>
      <c r="I64" s="91"/>
      <c r="J64" s="91"/>
      <c r="K64" s="91"/>
      <c r="L64" s="91"/>
      <c r="M64" s="91"/>
      <c r="N64" s="91"/>
      <c r="O64" s="91"/>
      <c r="P64" s="91"/>
      <c r="Q64" s="91"/>
    </row>
    <row r="65" spans="1:17" ht="14.5">
      <c r="A65" s="54" t="s">
        <v>149</v>
      </c>
      <c r="B65" s="67">
        <f>SUMIFS('Safeguard facility data'!BI$4:BI$312,'Safeguard facility data'!$Q$4:$Q$312,$A65,'Safeguard facility data'!BI$4:BI$312,"&gt;0")</f>
        <v>0</v>
      </c>
      <c r="C65" s="67">
        <f>SUMIFS('Safeguard facility data'!BJ$4:BJ$312,'Safeguard facility data'!$Q$4:$Q$312,$A65,'Safeguard facility data'!BJ$4:BJ$312,"&gt;0")</f>
        <v>0</v>
      </c>
      <c r="D65" s="67">
        <f>SUMIFS('Safeguard facility data'!BK$4:BK$312,'Safeguard facility data'!$Q$4:$Q$312,$A65,'Safeguard facility data'!BK$4:BK$312,"&gt;0")</f>
        <v>0</v>
      </c>
      <c r="E65" s="67">
        <f>SUMIFS('Safeguard facility data'!BL$4:BL$312,'Safeguard facility data'!$Q$4:$Q$312,$A65,'Safeguard facility data'!BL$4:BL$312,"&gt;0")</f>
        <v>0</v>
      </c>
      <c r="F65" s="67">
        <f>SUMIFS('Safeguard facility data'!BM$4:BM$312,'Safeguard facility data'!$Q$4:$Q$312,$A65,'Safeguard facility data'!BM$4:BM$312,"&gt;0")</f>
        <v>0</v>
      </c>
      <c r="G65" s="61">
        <f t="shared" si="6"/>
        <v>0</v>
      </c>
      <c r="H65" s="91">
        <f t="shared" si="7"/>
        <v>0</v>
      </c>
      <c r="I65" s="91"/>
      <c r="J65" s="91"/>
      <c r="K65" s="91"/>
      <c r="L65" s="91"/>
      <c r="M65" s="91"/>
      <c r="N65" s="91"/>
      <c r="O65" s="91"/>
      <c r="P65" s="91"/>
      <c r="Q65" s="91"/>
    </row>
    <row r="66" spans="1:17" ht="14.5">
      <c r="A66" s="54" t="s">
        <v>150</v>
      </c>
      <c r="B66" s="67">
        <f>SUMIFS('Safeguard facility data'!BI$4:BI$312,'Safeguard facility data'!$Q$4:$Q$312,$A66,'Safeguard facility data'!BI$4:BI$312,"&gt;0")</f>
        <v>0</v>
      </c>
      <c r="C66" s="67">
        <f>SUMIFS('Safeguard facility data'!BJ$4:BJ$312,'Safeguard facility data'!$Q$4:$Q$312,$A66,'Safeguard facility data'!BJ$4:BJ$312,"&gt;0")</f>
        <v>0</v>
      </c>
      <c r="D66" s="67">
        <f>SUMIFS('Safeguard facility data'!BK$4:BK$312,'Safeguard facility data'!$Q$4:$Q$312,$A66,'Safeguard facility data'!BK$4:BK$312,"&gt;0")</f>
        <v>0</v>
      </c>
      <c r="E66" s="67">
        <f>SUMIFS('Safeguard facility data'!BL$4:BL$312,'Safeguard facility data'!$Q$4:$Q$312,$A66,'Safeguard facility data'!BL$4:BL$312,"&gt;0")</f>
        <v>0</v>
      </c>
      <c r="F66" s="67">
        <f>SUMIFS('Safeguard facility data'!BM$4:BM$312,'Safeguard facility data'!$Q$4:$Q$312,$A66,'Safeguard facility data'!BM$4:BM$312,"&gt;0")</f>
        <v>0</v>
      </c>
      <c r="G66" s="61">
        <f t="shared" si="6"/>
        <v>0</v>
      </c>
      <c r="H66" s="91">
        <f t="shared" si="7"/>
        <v>0</v>
      </c>
      <c r="I66" s="91"/>
      <c r="J66" s="91"/>
      <c r="K66" s="91"/>
      <c r="L66" s="91"/>
      <c r="M66" s="91"/>
      <c r="N66" s="91"/>
      <c r="O66" s="91"/>
      <c r="P66" s="91"/>
      <c r="Q66" s="91"/>
    </row>
    <row r="67" spans="1:17" ht="14.5">
      <c r="A67" s="54" t="s">
        <v>151</v>
      </c>
      <c r="B67" s="67">
        <f>SUMIFS('Safeguard facility data'!BI$4:BI$312,'Safeguard facility data'!$Q$4:$Q$312,$A67,'Safeguard facility data'!BI$4:BI$312,"&gt;0")</f>
        <v>0</v>
      </c>
      <c r="C67" s="67">
        <f>SUMIFS('Safeguard facility data'!BJ$4:BJ$312,'Safeguard facility data'!$Q$4:$Q$312,$A67,'Safeguard facility data'!BJ$4:BJ$312,"&gt;0")</f>
        <v>0</v>
      </c>
      <c r="D67" s="67">
        <f>SUMIFS('Safeguard facility data'!BK$4:BK$312,'Safeguard facility data'!$Q$4:$Q$312,$A67,'Safeguard facility data'!BK$4:BK$312,"&gt;0")</f>
        <v>0</v>
      </c>
      <c r="E67" s="67">
        <f>SUMIFS('Safeguard facility data'!BL$4:BL$312,'Safeguard facility data'!$Q$4:$Q$312,$A67,'Safeguard facility data'!BL$4:BL$312,"&gt;0")</f>
        <v>0</v>
      </c>
      <c r="F67" s="67">
        <f>SUMIFS('Safeguard facility data'!BM$4:BM$312,'Safeguard facility data'!$Q$4:$Q$312,$A67,'Safeguard facility data'!BM$4:BM$312,"&gt;0")</f>
        <v>0</v>
      </c>
      <c r="G67" s="61">
        <f t="shared" si="6"/>
        <v>0</v>
      </c>
      <c r="H67" s="91">
        <f t="shared" si="7"/>
        <v>0</v>
      </c>
      <c r="I67" s="91"/>
      <c r="J67" s="91"/>
      <c r="K67" s="91"/>
      <c r="L67" s="91"/>
      <c r="M67" s="91"/>
      <c r="N67" s="91"/>
      <c r="O67" s="91"/>
      <c r="P67" s="91"/>
      <c r="Q67" s="91"/>
    </row>
    <row r="68" spans="1:17" ht="14.5">
      <c r="A68" s="54" t="s">
        <v>71</v>
      </c>
      <c r="B68" s="67">
        <f>SUMIFS('Safeguard facility data'!BI$4:BI$312,'Safeguard facility data'!$Q$4:$Q$312,$A68,'Safeguard facility data'!BI$4:BI$312,"&gt;0")</f>
        <v>0</v>
      </c>
      <c r="C68" s="67">
        <f>SUMIFS('Safeguard facility data'!BJ$4:BJ$312,'Safeguard facility data'!$Q$4:$Q$312,$A68,'Safeguard facility data'!BJ$4:BJ$312,"&gt;0")</f>
        <v>0</v>
      </c>
      <c r="D68" s="67">
        <f>SUMIFS('Safeguard facility data'!BK$4:BK$312,'Safeguard facility data'!$Q$4:$Q$312,$A68,'Safeguard facility data'!BK$4:BK$312,"&gt;0")</f>
        <v>0</v>
      </c>
      <c r="E68" s="67">
        <f>SUMIFS('Safeguard facility data'!BL$4:BL$312,'Safeguard facility data'!$Q$4:$Q$312,$A68,'Safeguard facility data'!BL$4:BL$312,"&gt;0")</f>
        <v>0</v>
      </c>
      <c r="F68" s="67">
        <f>SUMIFS('Safeguard facility data'!BM$4:BM$312,'Safeguard facility data'!$Q$4:$Q$312,$A68,'Safeguard facility data'!BM$4:BM$312,"&gt;0")</f>
        <v>0</v>
      </c>
      <c r="G68" s="61">
        <f t="shared" si="6"/>
        <v>0</v>
      </c>
      <c r="H68" s="91">
        <f t="shared" si="7"/>
        <v>0</v>
      </c>
      <c r="I68" s="91"/>
      <c r="J68" s="91"/>
      <c r="K68" s="91"/>
      <c r="L68" s="91"/>
      <c r="M68" s="91"/>
      <c r="N68" s="91"/>
      <c r="O68" s="91"/>
      <c r="P68" s="91"/>
      <c r="Q68" s="91"/>
    </row>
    <row r="69" spans="1:17" ht="14.5">
      <c r="A69" s="54" t="s">
        <v>78</v>
      </c>
      <c r="B69" s="67">
        <f>SUMIFS('Safeguard facility data'!BI$4:BI$312,'Safeguard facility data'!$Q$4:$Q$312,$A69,'Safeguard facility data'!BI$4:BI$312,"&gt;0")</f>
        <v>0</v>
      </c>
      <c r="C69" s="67">
        <f>SUMIFS('Safeguard facility data'!BJ$4:BJ$312,'Safeguard facility data'!$Q$4:$Q$312,$A69,'Safeguard facility data'!BJ$4:BJ$312,"&gt;0")</f>
        <v>0</v>
      </c>
      <c r="D69" s="67">
        <f>SUMIFS('Safeguard facility data'!BK$4:BK$312,'Safeguard facility data'!$Q$4:$Q$312,$A69,'Safeguard facility data'!BK$4:BK$312,"&gt;0")</f>
        <v>0</v>
      </c>
      <c r="E69" s="67">
        <f>SUMIFS('Safeguard facility data'!BL$4:BL$312,'Safeguard facility data'!$Q$4:$Q$312,$A69,'Safeguard facility data'!BL$4:BL$312,"&gt;0")</f>
        <v>0</v>
      </c>
      <c r="F69" s="67">
        <f>SUMIFS('Safeguard facility data'!BM$4:BM$312,'Safeguard facility data'!$Q$4:$Q$312,$A69,'Safeguard facility data'!BM$4:BM$312,"&gt;0")</f>
        <v>0</v>
      </c>
      <c r="G69" s="61">
        <f t="shared" si="6"/>
        <v>0</v>
      </c>
      <c r="H69" s="91">
        <f t="shared" si="7"/>
        <v>0</v>
      </c>
      <c r="I69" s="91"/>
      <c r="J69" s="91"/>
      <c r="K69" s="91"/>
      <c r="L69" s="91"/>
      <c r="M69" s="91"/>
      <c r="N69" s="91"/>
      <c r="O69" s="91"/>
      <c r="P69" s="91"/>
      <c r="Q69" s="91"/>
    </row>
    <row r="70" spans="1:17" ht="14.5">
      <c r="A70" s="54" t="s">
        <v>152</v>
      </c>
      <c r="B70" s="67">
        <f>SUMIFS('Safeguard facility data'!BI$4:BI$312,'Safeguard facility data'!$Q$4:$Q$312,$A70,'Safeguard facility data'!BI$4:BI$312,"&gt;0")</f>
        <v>0</v>
      </c>
      <c r="C70" s="67">
        <f>SUMIFS('Safeguard facility data'!BJ$4:BJ$312,'Safeguard facility data'!$Q$4:$Q$312,$A70,'Safeguard facility data'!BJ$4:BJ$312,"&gt;0")</f>
        <v>0</v>
      </c>
      <c r="D70" s="67">
        <f>SUMIFS('Safeguard facility data'!BK$4:BK$312,'Safeguard facility data'!$Q$4:$Q$312,$A70,'Safeguard facility data'!BK$4:BK$312,"&gt;0")</f>
        <v>0</v>
      </c>
      <c r="E70" s="67">
        <f>SUMIFS('Safeguard facility data'!BL$4:BL$312,'Safeguard facility data'!$Q$4:$Q$312,$A70,'Safeguard facility data'!BL$4:BL$312,"&gt;0")</f>
        <v>0</v>
      </c>
      <c r="F70" s="67">
        <f>SUMIFS('Safeguard facility data'!BM$4:BM$312,'Safeguard facility data'!$Q$4:$Q$312,$A70,'Safeguard facility data'!BM$4:BM$312,"&gt;0")</f>
        <v>0</v>
      </c>
      <c r="G70" s="61">
        <f t="shared" si="6"/>
        <v>0</v>
      </c>
      <c r="H70" s="91">
        <f t="shared" si="7"/>
        <v>0</v>
      </c>
      <c r="I70" s="91"/>
      <c r="J70" s="91"/>
      <c r="K70" s="91"/>
      <c r="L70" s="91"/>
      <c r="M70" s="91"/>
      <c r="N70" s="91"/>
      <c r="O70" s="91"/>
      <c r="P70" s="91"/>
      <c r="Q70" s="91"/>
    </row>
    <row r="71" spans="1:17" ht="14.5">
      <c r="A71" s="54" t="s">
        <v>153</v>
      </c>
      <c r="B71" s="67">
        <f>SUMIFS('Safeguard facility data'!BI$4:BI$312,'Safeguard facility data'!$Q$4:$Q$312,$A71,'Safeguard facility data'!BI$4:BI$312,"&gt;0")</f>
        <v>0</v>
      </c>
      <c r="C71" s="67">
        <f>SUMIFS('Safeguard facility data'!BJ$4:BJ$312,'Safeguard facility data'!$Q$4:$Q$312,$A71,'Safeguard facility data'!BJ$4:BJ$312,"&gt;0")</f>
        <v>0</v>
      </c>
      <c r="D71" s="67">
        <f>SUMIFS('Safeguard facility data'!BK$4:BK$312,'Safeguard facility data'!$Q$4:$Q$312,$A71,'Safeguard facility data'!BK$4:BK$312,"&gt;0")</f>
        <v>0</v>
      </c>
      <c r="E71" s="67">
        <f>SUMIFS('Safeguard facility data'!BL$4:BL$312,'Safeguard facility data'!$Q$4:$Q$312,$A71,'Safeguard facility data'!BL$4:BL$312,"&gt;0")</f>
        <v>0</v>
      </c>
      <c r="F71" s="67">
        <f>SUMIFS('Safeguard facility data'!BM$4:BM$312,'Safeguard facility data'!$Q$4:$Q$312,$A71,'Safeguard facility data'!BM$4:BM$312,"&gt;0")</f>
        <v>0</v>
      </c>
      <c r="G71" s="61">
        <f t="shared" si="6"/>
        <v>0</v>
      </c>
      <c r="H71" s="91">
        <f t="shared" si="7"/>
        <v>0</v>
      </c>
      <c r="I71" s="91"/>
      <c r="J71" s="91"/>
      <c r="K71" s="91"/>
      <c r="L71" s="91"/>
      <c r="M71" s="91"/>
      <c r="N71" s="91"/>
      <c r="O71" s="91"/>
      <c r="P71" s="91"/>
      <c r="Q71" s="91"/>
    </row>
    <row r="72" spans="1:17" ht="14.5">
      <c r="A72" s="54" t="s">
        <v>154</v>
      </c>
      <c r="B72" s="67">
        <f>SUMIFS('Safeguard facility data'!BI$4:BI$312,'Safeguard facility data'!$Q$4:$Q$312,$A72,'Safeguard facility data'!BI$4:BI$312,"&gt;0")</f>
        <v>0</v>
      </c>
      <c r="C72" s="67">
        <f>SUMIFS('Safeguard facility data'!BJ$4:BJ$312,'Safeguard facility data'!$Q$4:$Q$312,$A72,'Safeguard facility data'!BJ$4:BJ$312,"&gt;0")</f>
        <v>0</v>
      </c>
      <c r="D72" s="67">
        <f>SUMIFS('Safeguard facility data'!BK$4:BK$312,'Safeguard facility data'!$Q$4:$Q$312,$A72,'Safeguard facility data'!BK$4:BK$312,"&gt;0")</f>
        <v>0</v>
      </c>
      <c r="E72" s="67">
        <f>SUMIFS('Safeguard facility data'!BL$4:BL$312,'Safeguard facility data'!$Q$4:$Q$312,$A72,'Safeguard facility data'!BL$4:BL$312,"&gt;0")</f>
        <v>0</v>
      </c>
      <c r="F72" s="67">
        <f>SUMIFS('Safeguard facility data'!BM$4:BM$312,'Safeguard facility data'!$Q$4:$Q$312,$A72,'Safeguard facility data'!BM$4:BM$312,"&gt;0")</f>
        <v>0</v>
      </c>
      <c r="G72" s="61">
        <f t="shared" si="6"/>
        <v>0</v>
      </c>
      <c r="H72" s="91">
        <f t="shared" si="7"/>
        <v>0</v>
      </c>
      <c r="I72" s="91"/>
      <c r="J72" s="91"/>
      <c r="K72" s="91"/>
      <c r="L72" s="91"/>
      <c r="M72" s="91"/>
      <c r="N72" s="91"/>
      <c r="O72" s="91"/>
      <c r="P72" s="91"/>
      <c r="Q72" s="91"/>
    </row>
    <row r="73" spans="1:17" ht="14.5">
      <c r="A73" s="54" t="s">
        <v>155</v>
      </c>
      <c r="B73" s="67">
        <f>SUMIFS('Safeguard facility data'!BI$4:BI$312,'Safeguard facility data'!$Q$4:$Q$312,$A73,'Safeguard facility data'!BI$4:BI$312,"&gt;0")</f>
        <v>0</v>
      </c>
      <c r="C73" s="67">
        <f>SUMIFS('Safeguard facility data'!BJ$4:BJ$312,'Safeguard facility data'!$Q$4:$Q$312,$A73,'Safeguard facility data'!BJ$4:BJ$312,"&gt;0")</f>
        <v>0</v>
      </c>
      <c r="D73" s="67">
        <f>SUMIFS('Safeguard facility data'!BK$4:BK$312,'Safeguard facility data'!$Q$4:$Q$312,$A73,'Safeguard facility data'!BK$4:BK$312,"&gt;0")</f>
        <v>0</v>
      </c>
      <c r="E73" s="67">
        <f>SUMIFS('Safeguard facility data'!BL$4:BL$312,'Safeguard facility data'!$Q$4:$Q$312,$A73,'Safeguard facility data'!BL$4:BL$312,"&gt;0")</f>
        <v>0</v>
      </c>
      <c r="F73" s="67">
        <f>SUMIFS('Safeguard facility data'!BM$4:BM$312,'Safeguard facility data'!$Q$4:$Q$312,$A73,'Safeguard facility data'!BM$4:BM$312,"&gt;0")</f>
        <v>0</v>
      </c>
      <c r="G73" s="61">
        <f t="shared" ref="G73:G104" si="8">SUM(B73:F73)</f>
        <v>0</v>
      </c>
      <c r="H73" s="91">
        <f t="shared" ref="H73:H104" si="9">G73/$G$3</f>
        <v>0</v>
      </c>
      <c r="I73" s="91"/>
      <c r="J73" s="91"/>
      <c r="K73" s="91"/>
      <c r="L73" s="91"/>
      <c r="M73" s="91"/>
      <c r="N73" s="91"/>
      <c r="O73" s="91"/>
      <c r="P73" s="91"/>
      <c r="Q73" s="91"/>
    </row>
    <row r="74" spans="1:17" ht="14.5">
      <c r="A74" s="54" t="s">
        <v>156</v>
      </c>
      <c r="B74" s="67">
        <f>SUMIFS('Safeguard facility data'!BI$4:BI$312,'Safeguard facility data'!$Q$4:$Q$312,$A74,'Safeguard facility data'!BI$4:BI$312,"&gt;0")</f>
        <v>0</v>
      </c>
      <c r="C74" s="67">
        <f>SUMIFS('Safeguard facility data'!BJ$4:BJ$312,'Safeguard facility data'!$Q$4:$Q$312,$A74,'Safeguard facility data'!BJ$4:BJ$312,"&gt;0")</f>
        <v>0</v>
      </c>
      <c r="D74" s="67">
        <f>SUMIFS('Safeguard facility data'!BK$4:BK$312,'Safeguard facility data'!$Q$4:$Q$312,$A74,'Safeguard facility data'!BK$4:BK$312,"&gt;0")</f>
        <v>0</v>
      </c>
      <c r="E74" s="67">
        <f>SUMIFS('Safeguard facility data'!BL$4:BL$312,'Safeguard facility data'!$Q$4:$Q$312,$A74,'Safeguard facility data'!BL$4:BL$312,"&gt;0")</f>
        <v>0</v>
      </c>
      <c r="F74" s="67">
        <f>SUMIFS('Safeguard facility data'!BM$4:BM$312,'Safeguard facility data'!$Q$4:$Q$312,$A74,'Safeguard facility data'!BM$4:BM$312,"&gt;0")</f>
        <v>0</v>
      </c>
      <c r="G74" s="61">
        <f t="shared" si="8"/>
        <v>0</v>
      </c>
      <c r="H74" s="91">
        <f t="shared" si="9"/>
        <v>0</v>
      </c>
      <c r="I74" s="91"/>
      <c r="J74" s="91"/>
      <c r="K74" s="91"/>
      <c r="L74" s="91"/>
      <c r="M74" s="91"/>
      <c r="N74" s="91"/>
      <c r="O74" s="91"/>
      <c r="P74" s="91"/>
      <c r="Q74" s="91"/>
    </row>
    <row r="75" spans="1:17" ht="14.5">
      <c r="A75" s="54" t="s">
        <v>94</v>
      </c>
      <c r="B75" s="67">
        <f>SUMIFS('Safeguard facility data'!BI$4:BI$312,'Safeguard facility data'!$Q$4:$Q$312,$A75,'Safeguard facility data'!BI$4:BI$312,"&gt;0")</f>
        <v>0</v>
      </c>
      <c r="C75" s="67">
        <f>SUMIFS('Safeguard facility data'!BJ$4:BJ$312,'Safeguard facility data'!$Q$4:$Q$312,$A75,'Safeguard facility data'!BJ$4:BJ$312,"&gt;0")</f>
        <v>0</v>
      </c>
      <c r="D75" s="67">
        <f>SUMIFS('Safeguard facility data'!BK$4:BK$312,'Safeguard facility data'!$Q$4:$Q$312,$A75,'Safeguard facility data'!BK$4:BK$312,"&gt;0")</f>
        <v>0</v>
      </c>
      <c r="E75" s="67">
        <f>SUMIFS('Safeguard facility data'!BL$4:BL$312,'Safeguard facility data'!$Q$4:$Q$312,$A75,'Safeguard facility data'!BL$4:BL$312,"&gt;0")</f>
        <v>0</v>
      </c>
      <c r="F75" s="67">
        <f>SUMIFS('Safeguard facility data'!BM$4:BM$312,'Safeguard facility data'!$Q$4:$Q$312,$A75,'Safeguard facility data'!BM$4:BM$312,"&gt;0")</f>
        <v>0</v>
      </c>
      <c r="G75" s="61">
        <f t="shared" si="8"/>
        <v>0</v>
      </c>
      <c r="H75" s="91">
        <f t="shared" si="9"/>
        <v>0</v>
      </c>
      <c r="I75" s="91"/>
      <c r="J75" s="91"/>
      <c r="K75" s="91"/>
      <c r="L75" s="91"/>
      <c r="M75" s="91"/>
      <c r="N75" s="91"/>
      <c r="O75" s="91"/>
      <c r="P75" s="91"/>
      <c r="Q75" s="91"/>
    </row>
    <row r="76" spans="1:17" ht="14.5">
      <c r="A76" s="54" t="s">
        <v>233</v>
      </c>
      <c r="B76" s="67">
        <f>SUMIFS('Safeguard facility data'!BI$4:BI$312,'Safeguard facility data'!$Q$4:$Q$312,$A76,'Safeguard facility data'!BI$4:BI$312,"&gt;0")</f>
        <v>0</v>
      </c>
      <c r="C76" s="67">
        <f>SUMIFS('Safeguard facility data'!BJ$4:BJ$312,'Safeguard facility data'!$Q$4:$Q$312,$A76,'Safeguard facility data'!BJ$4:BJ$312,"&gt;0")</f>
        <v>0</v>
      </c>
      <c r="D76" s="67">
        <f>SUMIFS('Safeguard facility data'!BK$4:BK$312,'Safeguard facility data'!$Q$4:$Q$312,$A76,'Safeguard facility data'!BK$4:BK$312,"&gt;0")</f>
        <v>0</v>
      </c>
      <c r="E76" s="67">
        <f>SUMIFS('Safeguard facility data'!BL$4:BL$312,'Safeguard facility data'!$Q$4:$Q$312,$A76,'Safeguard facility data'!BL$4:BL$312,"&gt;0")</f>
        <v>0</v>
      </c>
      <c r="F76" s="67">
        <f>SUMIFS('Safeguard facility data'!BM$4:BM$312,'Safeguard facility data'!$Q$4:$Q$312,$A76,'Safeguard facility data'!BM$4:BM$312,"&gt;0")</f>
        <v>0</v>
      </c>
      <c r="G76" s="61">
        <f t="shared" si="8"/>
        <v>0</v>
      </c>
      <c r="H76" s="91">
        <f t="shared" si="9"/>
        <v>0</v>
      </c>
      <c r="I76" s="91"/>
      <c r="J76" s="91"/>
      <c r="K76" s="91"/>
      <c r="L76" s="91"/>
      <c r="M76" s="91"/>
      <c r="N76" s="91"/>
      <c r="O76" s="91"/>
      <c r="P76" s="91"/>
      <c r="Q76" s="91"/>
    </row>
    <row r="77" spans="1:17" ht="14.5">
      <c r="A77" s="54" t="s">
        <v>234</v>
      </c>
      <c r="B77" s="67">
        <f>SUMIFS('Safeguard facility data'!BI$4:BI$312,'Safeguard facility data'!$Q$4:$Q$312,$A77,'Safeguard facility data'!BI$4:BI$312,"&gt;0")</f>
        <v>0</v>
      </c>
      <c r="C77" s="67">
        <f>SUMIFS('Safeguard facility data'!BJ$4:BJ$312,'Safeguard facility data'!$Q$4:$Q$312,$A77,'Safeguard facility data'!BJ$4:BJ$312,"&gt;0")</f>
        <v>0</v>
      </c>
      <c r="D77" s="67">
        <f>SUMIFS('Safeguard facility data'!BK$4:BK$312,'Safeguard facility data'!$Q$4:$Q$312,$A77,'Safeguard facility data'!BK$4:BK$312,"&gt;0")</f>
        <v>0</v>
      </c>
      <c r="E77" s="67">
        <f>SUMIFS('Safeguard facility data'!BL$4:BL$312,'Safeguard facility data'!$Q$4:$Q$312,$A77,'Safeguard facility data'!BL$4:BL$312,"&gt;0")</f>
        <v>0</v>
      </c>
      <c r="F77" s="67">
        <f>SUMIFS('Safeguard facility data'!BM$4:BM$312,'Safeguard facility data'!$Q$4:$Q$312,$A77,'Safeguard facility data'!BM$4:BM$312,"&gt;0")</f>
        <v>0</v>
      </c>
      <c r="G77" s="61">
        <f t="shared" si="8"/>
        <v>0</v>
      </c>
      <c r="H77" s="91">
        <f t="shared" si="9"/>
        <v>0</v>
      </c>
      <c r="I77" s="91"/>
      <c r="J77" s="91"/>
      <c r="K77" s="91"/>
      <c r="L77" s="91"/>
      <c r="M77" s="91"/>
      <c r="N77" s="91"/>
      <c r="O77" s="91"/>
      <c r="P77" s="91"/>
      <c r="Q77" s="91"/>
    </row>
    <row r="78" spans="1:17" ht="14.5">
      <c r="A78" s="54" t="s">
        <v>157</v>
      </c>
      <c r="B78" s="67">
        <f>SUMIFS('Safeguard facility data'!BI$4:BI$312,'Safeguard facility data'!$Q$4:$Q$312,$A78,'Safeguard facility data'!BI$4:BI$312,"&gt;0")</f>
        <v>0</v>
      </c>
      <c r="C78" s="67">
        <f>SUMIFS('Safeguard facility data'!BJ$4:BJ$312,'Safeguard facility data'!$Q$4:$Q$312,$A78,'Safeguard facility data'!BJ$4:BJ$312,"&gt;0")</f>
        <v>0</v>
      </c>
      <c r="D78" s="67">
        <f>SUMIFS('Safeguard facility data'!BK$4:BK$312,'Safeguard facility data'!$Q$4:$Q$312,$A78,'Safeguard facility data'!BK$4:BK$312,"&gt;0")</f>
        <v>0</v>
      </c>
      <c r="E78" s="67">
        <f>SUMIFS('Safeguard facility data'!BL$4:BL$312,'Safeguard facility data'!$Q$4:$Q$312,$A78,'Safeguard facility data'!BL$4:BL$312,"&gt;0")</f>
        <v>0</v>
      </c>
      <c r="F78" s="67">
        <f>SUMIFS('Safeguard facility data'!BM$4:BM$312,'Safeguard facility data'!$Q$4:$Q$312,$A78,'Safeguard facility data'!BM$4:BM$312,"&gt;0")</f>
        <v>0</v>
      </c>
      <c r="G78" s="61">
        <f t="shared" si="8"/>
        <v>0</v>
      </c>
      <c r="H78" s="91">
        <f t="shared" si="9"/>
        <v>0</v>
      </c>
      <c r="I78" s="91"/>
      <c r="J78" s="91"/>
      <c r="K78" s="91"/>
      <c r="L78" s="91"/>
      <c r="M78" s="91"/>
      <c r="N78" s="91"/>
      <c r="O78" s="91"/>
      <c r="P78" s="91"/>
      <c r="Q78" s="91"/>
    </row>
    <row r="79" spans="1:17" ht="14.5">
      <c r="A79" s="54" t="s">
        <v>160</v>
      </c>
      <c r="B79" s="67">
        <f>SUMIFS('Safeguard facility data'!BI$4:BI$312,'Safeguard facility data'!$Q$4:$Q$312,$A79,'Safeguard facility data'!BI$4:BI$312,"&gt;0")</f>
        <v>0</v>
      </c>
      <c r="C79" s="67">
        <f>SUMIFS('Safeguard facility data'!BJ$4:BJ$312,'Safeguard facility data'!$Q$4:$Q$312,$A79,'Safeguard facility data'!BJ$4:BJ$312,"&gt;0")</f>
        <v>0</v>
      </c>
      <c r="D79" s="67">
        <f>SUMIFS('Safeguard facility data'!BK$4:BK$312,'Safeguard facility data'!$Q$4:$Q$312,$A79,'Safeguard facility data'!BK$4:BK$312,"&gt;0")</f>
        <v>0</v>
      </c>
      <c r="E79" s="67">
        <f>SUMIFS('Safeguard facility data'!BL$4:BL$312,'Safeguard facility data'!$Q$4:$Q$312,$A79,'Safeguard facility data'!BL$4:BL$312,"&gt;0")</f>
        <v>0</v>
      </c>
      <c r="F79" s="67">
        <f>SUMIFS('Safeguard facility data'!BM$4:BM$312,'Safeguard facility data'!$Q$4:$Q$312,$A79,'Safeguard facility data'!BM$4:BM$312,"&gt;0")</f>
        <v>0</v>
      </c>
      <c r="G79" s="61">
        <f t="shared" si="8"/>
        <v>0</v>
      </c>
      <c r="H79" s="91">
        <f t="shared" si="9"/>
        <v>0</v>
      </c>
      <c r="I79" s="91"/>
      <c r="J79" s="91"/>
      <c r="K79" s="91"/>
      <c r="L79" s="91"/>
      <c r="M79" s="91"/>
      <c r="N79" s="91"/>
      <c r="O79" s="91"/>
      <c r="P79" s="91"/>
      <c r="Q79" s="91"/>
    </row>
    <row r="80" spans="1:17" ht="14.5">
      <c r="A80" s="54" t="s">
        <v>51</v>
      </c>
      <c r="B80" s="67">
        <f>SUMIFS('Safeguard facility data'!BI$4:BI$312,'Safeguard facility data'!$Q$4:$Q$312,$A80,'Safeguard facility data'!BI$4:BI$312,"&gt;0")</f>
        <v>0</v>
      </c>
      <c r="C80" s="67">
        <f>SUMIFS('Safeguard facility data'!BJ$4:BJ$312,'Safeguard facility data'!$Q$4:$Q$312,$A80,'Safeguard facility data'!BJ$4:BJ$312,"&gt;0")</f>
        <v>0</v>
      </c>
      <c r="D80" s="67">
        <f>SUMIFS('Safeguard facility data'!BK$4:BK$312,'Safeguard facility data'!$Q$4:$Q$312,$A80,'Safeguard facility data'!BK$4:BK$312,"&gt;0")</f>
        <v>0</v>
      </c>
      <c r="E80" s="67">
        <f>SUMIFS('Safeguard facility data'!BL$4:BL$312,'Safeguard facility data'!$Q$4:$Q$312,$A80,'Safeguard facility data'!BL$4:BL$312,"&gt;0")</f>
        <v>0</v>
      </c>
      <c r="F80" s="67">
        <f>SUMIFS('Safeguard facility data'!BM$4:BM$312,'Safeguard facility data'!$Q$4:$Q$312,$A80,'Safeguard facility data'!BM$4:BM$312,"&gt;0")</f>
        <v>0</v>
      </c>
      <c r="G80" s="61">
        <f t="shared" si="8"/>
        <v>0</v>
      </c>
      <c r="H80" s="91">
        <f t="shared" si="9"/>
        <v>0</v>
      </c>
      <c r="I80" s="91"/>
      <c r="J80" s="91"/>
      <c r="K80" s="91"/>
      <c r="L80" s="91"/>
      <c r="M80" s="91"/>
      <c r="N80" s="91"/>
      <c r="O80" s="91"/>
      <c r="P80" s="91"/>
      <c r="Q80" s="91"/>
    </row>
    <row r="81" spans="1:17" ht="14.5">
      <c r="A81" s="54" t="s">
        <v>235</v>
      </c>
      <c r="B81" s="67">
        <f>SUMIFS('Safeguard facility data'!BI$4:BI$312,'Safeguard facility data'!$Q$4:$Q$312,$A81,'Safeguard facility data'!BI$4:BI$312,"&gt;0")</f>
        <v>0</v>
      </c>
      <c r="C81" s="67">
        <f>SUMIFS('Safeguard facility data'!BJ$4:BJ$312,'Safeguard facility data'!$Q$4:$Q$312,$A81,'Safeguard facility data'!BJ$4:BJ$312,"&gt;0")</f>
        <v>0</v>
      </c>
      <c r="D81" s="67">
        <f>SUMIFS('Safeguard facility data'!BK$4:BK$312,'Safeguard facility data'!$Q$4:$Q$312,$A81,'Safeguard facility data'!BK$4:BK$312,"&gt;0")</f>
        <v>0</v>
      </c>
      <c r="E81" s="67">
        <f>SUMIFS('Safeguard facility data'!BL$4:BL$312,'Safeguard facility data'!$Q$4:$Q$312,$A81,'Safeguard facility data'!BL$4:BL$312,"&gt;0")</f>
        <v>0</v>
      </c>
      <c r="F81" s="67">
        <f>SUMIFS('Safeguard facility data'!BM$4:BM$312,'Safeguard facility data'!$Q$4:$Q$312,$A81,'Safeguard facility data'!BM$4:BM$312,"&gt;0")</f>
        <v>0</v>
      </c>
      <c r="G81" s="61">
        <f t="shared" si="8"/>
        <v>0</v>
      </c>
      <c r="H81" s="91">
        <f t="shared" si="9"/>
        <v>0</v>
      </c>
      <c r="I81" s="91"/>
      <c r="J81" s="91"/>
      <c r="K81" s="91"/>
      <c r="L81" s="91"/>
      <c r="M81" s="91"/>
      <c r="N81" s="91"/>
      <c r="O81" s="91"/>
      <c r="P81" s="91"/>
      <c r="Q81" s="91"/>
    </row>
    <row r="82" spans="1:17" ht="14.5">
      <c r="A82" s="54" t="s">
        <v>236</v>
      </c>
      <c r="B82" s="67">
        <f>SUMIFS('Safeguard facility data'!BI$4:BI$312,'Safeguard facility data'!$Q$4:$Q$312,$A82,'Safeguard facility data'!BI$4:BI$312,"&gt;0")</f>
        <v>0</v>
      </c>
      <c r="C82" s="67">
        <f>SUMIFS('Safeguard facility data'!BJ$4:BJ$312,'Safeguard facility data'!$Q$4:$Q$312,$A82,'Safeguard facility data'!BJ$4:BJ$312,"&gt;0")</f>
        <v>0</v>
      </c>
      <c r="D82" s="67">
        <f>SUMIFS('Safeguard facility data'!BK$4:BK$312,'Safeguard facility data'!$Q$4:$Q$312,$A82,'Safeguard facility data'!BK$4:BK$312,"&gt;0")</f>
        <v>0</v>
      </c>
      <c r="E82" s="67">
        <f>SUMIFS('Safeguard facility data'!BL$4:BL$312,'Safeguard facility data'!$Q$4:$Q$312,$A82,'Safeguard facility data'!BL$4:BL$312,"&gt;0")</f>
        <v>0</v>
      </c>
      <c r="F82" s="67">
        <f>SUMIFS('Safeguard facility data'!BM$4:BM$312,'Safeguard facility data'!$Q$4:$Q$312,$A82,'Safeguard facility data'!BM$4:BM$312,"&gt;0")</f>
        <v>0</v>
      </c>
      <c r="G82" s="61">
        <f t="shared" si="8"/>
        <v>0</v>
      </c>
      <c r="H82" s="91">
        <f t="shared" si="9"/>
        <v>0</v>
      </c>
      <c r="I82" s="91"/>
      <c r="J82" s="91"/>
      <c r="K82" s="91"/>
      <c r="L82" s="91"/>
      <c r="M82" s="91"/>
      <c r="N82" s="91"/>
      <c r="O82" s="91"/>
      <c r="P82" s="91"/>
      <c r="Q82" s="91"/>
    </row>
    <row r="83" spans="1:17" ht="14.5">
      <c r="A83" s="54" t="s">
        <v>162</v>
      </c>
      <c r="B83" s="67">
        <f>SUMIFS('Safeguard facility data'!BI$4:BI$312,'Safeguard facility data'!$Q$4:$Q$312,$A83,'Safeguard facility data'!BI$4:BI$312,"&gt;0")</f>
        <v>0</v>
      </c>
      <c r="C83" s="67">
        <f>SUMIFS('Safeguard facility data'!BJ$4:BJ$312,'Safeguard facility data'!$Q$4:$Q$312,$A83,'Safeguard facility data'!BJ$4:BJ$312,"&gt;0")</f>
        <v>0</v>
      </c>
      <c r="D83" s="67">
        <f>SUMIFS('Safeguard facility data'!BK$4:BK$312,'Safeguard facility data'!$Q$4:$Q$312,$A83,'Safeguard facility data'!BK$4:BK$312,"&gt;0")</f>
        <v>0</v>
      </c>
      <c r="E83" s="67">
        <f>SUMIFS('Safeguard facility data'!BL$4:BL$312,'Safeguard facility data'!$Q$4:$Q$312,$A83,'Safeguard facility data'!BL$4:BL$312,"&gt;0")</f>
        <v>0</v>
      </c>
      <c r="F83" s="67">
        <f>SUMIFS('Safeguard facility data'!BM$4:BM$312,'Safeguard facility data'!$Q$4:$Q$312,$A83,'Safeguard facility data'!BM$4:BM$312,"&gt;0")</f>
        <v>0</v>
      </c>
      <c r="G83" s="61">
        <f t="shared" si="8"/>
        <v>0</v>
      </c>
      <c r="H83" s="91">
        <f t="shared" si="9"/>
        <v>0</v>
      </c>
      <c r="I83" s="91"/>
      <c r="J83" s="91"/>
      <c r="K83" s="91"/>
      <c r="L83" s="91"/>
      <c r="M83" s="91"/>
      <c r="N83" s="91"/>
      <c r="O83" s="91"/>
      <c r="P83" s="91"/>
      <c r="Q83" s="91"/>
    </row>
    <row r="84" spans="1:17" ht="14.5">
      <c r="A84" s="54" t="s">
        <v>237</v>
      </c>
      <c r="B84" s="67">
        <f>SUMIFS('Safeguard facility data'!BI$4:BI$312,'Safeguard facility data'!$Q$4:$Q$312,$A84,'Safeguard facility data'!BI$4:BI$312,"&gt;0")</f>
        <v>0</v>
      </c>
      <c r="C84" s="67">
        <f>SUMIFS('Safeguard facility data'!BJ$4:BJ$312,'Safeguard facility data'!$Q$4:$Q$312,$A84,'Safeguard facility data'!BJ$4:BJ$312,"&gt;0")</f>
        <v>0</v>
      </c>
      <c r="D84" s="67">
        <f>SUMIFS('Safeguard facility data'!BK$4:BK$312,'Safeguard facility data'!$Q$4:$Q$312,$A84,'Safeguard facility data'!BK$4:BK$312,"&gt;0")</f>
        <v>0</v>
      </c>
      <c r="E84" s="67">
        <f>SUMIFS('Safeguard facility data'!BL$4:BL$312,'Safeguard facility data'!$Q$4:$Q$312,$A84,'Safeguard facility data'!BL$4:BL$312,"&gt;0")</f>
        <v>0</v>
      </c>
      <c r="F84" s="67">
        <f>SUMIFS('Safeguard facility data'!BM$4:BM$312,'Safeguard facility data'!$Q$4:$Q$312,$A84,'Safeguard facility data'!BM$4:BM$312,"&gt;0")</f>
        <v>0</v>
      </c>
      <c r="G84" s="61">
        <f t="shared" si="8"/>
        <v>0</v>
      </c>
      <c r="H84" s="91">
        <f t="shared" si="9"/>
        <v>0</v>
      </c>
      <c r="I84" s="91"/>
      <c r="J84" s="91"/>
      <c r="K84" s="91"/>
      <c r="L84" s="91"/>
      <c r="M84" s="91"/>
      <c r="N84" s="91"/>
      <c r="O84" s="91"/>
      <c r="P84" s="91"/>
      <c r="Q84" s="91"/>
    </row>
    <row r="85" spans="1:17" ht="14.5">
      <c r="A85" s="54" t="s">
        <v>266</v>
      </c>
      <c r="B85" s="67">
        <f>SUMIFS('Safeguard facility data'!BI$4:BI$312,'Safeguard facility data'!$Q$4:$Q$312,$A85,'Safeguard facility data'!BI$4:BI$312,"&gt;0")</f>
        <v>0</v>
      </c>
      <c r="C85" s="67">
        <f>SUMIFS('Safeguard facility data'!BJ$4:BJ$312,'Safeguard facility data'!$Q$4:$Q$312,$A85,'Safeguard facility data'!BJ$4:BJ$312,"&gt;0")</f>
        <v>0</v>
      </c>
      <c r="D85" s="67">
        <f>SUMIFS('Safeguard facility data'!BK$4:BK$312,'Safeguard facility data'!$Q$4:$Q$312,$A85,'Safeguard facility data'!BK$4:BK$312,"&gt;0")</f>
        <v>0</v>
      </c>
      <c r="E85" s="67">
        <f>SUMIFS('Safeguard facility data'!BL$4:BL$312,'Safeguard facility data'!$Q$4:$Q$312,$A85,'Safeguard facility data'!BL$4:BL$312,"&gt;0")</f>
        <v>0</v>
      </c>
      <c r="F85" s="67">
        <f>SUMIFS('Safeguard facility data'!BM$4:BM$312,'Safeguard facility data'!$Q$4:$Q$312,$A85,'Safeguard facility data'!BM$4:BM$312,"&gt;0")</f>
        <v>0</v>
      </c>
      <c r="G85" s="61">
        <f t="shared" si="8"/>
        <v>0</v>
      </c>
      <c r="H85" s="91">
        <f t="shared" si="9"/>
        <v>0</v>
      </c>
      <c r="I85" s="91"/>
      <c r="J85" s="91"/>
      <c r="K85" s="91"/>
      <c r="L85" s="91"/>
      <c r="M85" s="91"/>
      <c r="N85" s="91"/>
      <c r="O85" s="91"/>
      <c r="P85" s="91"/>
      <c r="Q85" s="91"/>
    </row>
    <row r="86" spans="1:17" ht="14.5">
      <c r="A86" s="54" t="s">
        <v>238</v>
      </c>
      <c r="B86" s="67">
        <f>SUMIFS('Safeguard facility data'!BI$4:BI$312,'Safeguard facility data'!$Q$4:$Q$312,$A86,'Safeguard facility data'!BI$4:BI$312,"&gt;0")</f>
        <v>0</v>
      </c>
      <c r="C86" s="67">
        <f>SUMIFS('Safeguard facility data'!BJ$4:BJ$312,'Safeguard facility data'!$Q$4:$Q$312,$A86,'Safeguard facility data'!BJ$4:BJ$312,"&gt;0")</f>
        <v>0</v>
      </c>
      <c r="D86" s="67">
        <f>SUMIFS('Safeguard facility data'!BK$4:BK$312,'Safeguard facility data'!$Q$4:$Q$312,$A86,'Safeguard facility data'!BK$4:BK$312,"&gt;0")</f>
        <v>0</v>
      </c>
      <c r="E86" s="67">
        <f>SUMIFS('Safeguard facility data'!BL$4:BL$312,'Safeguard facility data'!$Q$4:$Q$312,$A86,'Safeguard facility data'!BL$4:BL$312,"&gt;0")</f>
        <v>0</v>
      </c>
      <c r="F86" s="67">
        <f>SUMIFS('Safeguard facility data'!BM$4:BM$312,'Safeguard facility data'!$Q$4:$Q$312,$A86,'Safeguard facility data'!BM$4:BM$312,"&gt;0")</f>
        <v>0</v>
      </c>
      <c r="G86" s="61">
        <f t="shared" si="8"/>
        <v>0</v>
      </c>
      <c r="H86" s="91">
        <f t="shared" si="9"/>
        <v>0</v>
      </c>
      <c r="I86" s="91"/>
      <c r="J86" s="91"/>
      <c r="K86" s="91"/>
      <c r="L86" s="91"/>
      <c r="M86" s="91"/>
      <c r="N86" s="91"/>
      <c r="O86" s="91"/>
      <c r="P86" s="91"/>
      <c r="Q86" s="91"/>
    </row>
    <row r="87" spans="1:17" ht="14.5">
      <c r="A87" s="54" t="s">
        <v>239</v>
      </c>
      <c r="B87" s="67">
        <f>SUMIFS('Safeguard facility data'!BI$4:BI$312,'Safeguard facility data'!$Q$4:$Q$312,$A87,'Safeguard facility data'!BI$4:BI$312,"&gt;0")</f>
        <v>0</v>
      </c>
      <c r="C87" s="67">
        <f>SUMIFS('Safeguard facility data'!BJ$4:BJ$312,'Safeguard facility data'!$Q$4:$Q$312,$A87,'Safeguard facility data'!BJ$4:BJ$312,"&gt;0")</f>
        <v>0</v>
      </c>
      <c r="D87" s="67">
        <f>SUMIFS('Safeguard facility data'!BK$4:BK$312,'Safeguard facility data'!$Q$4:$Q$312,$A87,'Safeguard facility data'!BK$4:BK$312,"&gt;0")</f>
        <v>0</v>
      </c>
      <c r="E87" s="67">
        <f>SUMIFS('Safeguard facility data'!BL$4:BL$312,'Safeguard facility data'!$Q$4:$Q$312,$A87,'Safeguard facility data'!BL$4:BL$312,"&gt;0")</f>
        <v>0</v>
      </c>
      <c r="F87" s="67">
        <f>SUMIFS('Safeguard facility data'!BM$4:BM$312,'Safeguard facility data'!$Q$4:$Q$312,$A87,'Safeguard facility data'!BM$4:BM$312,"&gt;0")</f>
        <v>0</v>
      </c>
      <c r="G87" s="61">
        <f t="shared" si="8"/>
        <v>0</v>
      </c>
      <c r="H87" s="91">
        <f t="shared" si="9"/>
        <v>0</v>
      </c>
      <c r="I87" s="91"/>
      <c r="J87" s="91"/>
      <c r="K87" s="91"/>
      <c r="L87" s="91"/>
      <c r="M87" s="91"/>
      <c r="N87" s="91"/>
      <c r="O87" s="91"/>
      <c r="P87" s="91"/>
      <c r="Q87" s="91"/>
    </row>
    <row r="88" spans="1:17" ht="14.5">
      <c r="A88" s="54" t="s">
        <v>264</v>
      </c>
      <c r="B88" s="67">
        <f>SUMIFS('Safeguard facility data'!BI$4:BI$312,'Safeguard facility data'!$Q$4:$Q$312,$A88,'Safeguard facility data'!BI$4:BI$312,"&gt;0")</f>
        <v>0</v>
      </c>
      <c r="C88" s="67">
        <f>SUMIFS('Safeguard facility data'!BJ$4:BJ$312,'Safeguard facility data'!$Q$4:$Q$312,$A88,'Safeguard facility data'!BJ$4:BJ$312,"&gt;0")</f>
        <v>0</v>
      </c>
      <c r="D88" s="67">
        <f>SUMIFS('Safeguard facility data'!BK$4:BK$312,'Safeguard facility data'!$Q$4:$Q$312,$A88,'Safeguard facility data'!BK$4:BK$312,"&gt;0")</f>
        <v>0</v>
      </c>
      <c r="E88" s="67">
        <f>SUMIFS('Safeguard facility data'!BL$4:BL$312,'Safeguard facility data'!$Q$4:$Q$312,$A88,'Safeguard facility data'!BL$4:BL$312,"&gt;0")</f>
        <v>0</v>
      </c>
      <c r="F88" s="67">
        <f>SUMIFS('Safeguard facility data'!BM$4:BM$312,'Safeguard facility data'!$Q$4:$Q$312,$A88,'Safeguard facility data'!BM$4:BM$312,"&gt;0")</f>
        <v>0</v>
      </c>
      <c r="G88" s="61">
        <f t="shared" si="8"/>
        <v>0</v>
      </c>
      <c r="H88" s="91">
        <f t="shared" si="9"/>
        <v>0</v>
      </c>
      <c r="I88" s="91"/>
      <c r="J88" s="91"/>
      <c r="K88" s="91"/>
      <c r="L88" s="91"/>
      <c r="M88" s="91"/>
      <c r="N88" s="91"/>
      <c r="O88" s="91"/>
      <c r="P88" s="91"/>
      <c r="Q88" s="91"/>
    </row>
    <row r="89" spans="1:17" ht="14.5">
      <c r="A89" s="54" t="s">
        <v>164</v>
      </c>
      <c r="B89" s="67">
        <f>SUMIFS('Safeguard facility data'!BI$4:BI$312,'Safeguard facility data'!$Q$4:$Q$312,$A89,'Safeguard facility data'!BI$4:BI$312,"&gt;0")</f>
        <v>0</v>
      </c>
      <c r="C89" s="67">
        <f>SUMIFS('Safeguard facility data'!BJ$4:BJ$312,'Safeguard facility data'!$Q$4:$Q$312,$A89,'Safeguard facility data'!BJ$4:BJ$312,"&gt;0")</f>
        <v>0</v>
      </c>
      <c r="D89" s="67">
        <f>SUMIFS('Safeguard facility data'!BK$4:BK$312,'Safeguard facility data'!$Q$4:$Q$312,$A89,'Safeguard facility data'!BK$4:BK$312,"&gt;0")</f>
        <v>0</v>
      </c>
      <c r="E89" s="67">
        <f>SUMIFS('Safeguard facility data'!BL$4:BL$312,'Safeguard facility data'!$Q$4:$Q$312,$A89,'Safeguard facility data'!BL$4:BL$312,"&gt;0")</f>
        <v>0</v>
      </c>
      <c r="F89" s="67">
        <f>SUMIFS('Safeguard facility data'!BM$4:BM$312,'Safeguard facility data'!$Q$4:$Q$312,$A89,'Safeguard facility data'!BM$4:BM$312,"&gt;0")</f>
        <v>0</v>
      </c>
      <c r="G89" s="61">
        <f t="shared" si="8"/>
        <v>0</v>
      </c>
      <c r="H89" s="91">
        <f t="shared" si="9"/>
        <v>0</v>
      </c>
      <c r="I89" s="91"/>
      <c r="J89" s="91"/>
      <c r="K89" s="91"/>
      <c r="L89" s="91"/>
      <c r="M89" s="91"/>
      <c r="N89" s="91"/>
      <c r="O89" s="91"/>
      <c r="P89" s="91"/>
      <c r="Q89" s="91"/>
    </row>
    <row r="90" spans="1:17" ht="14.5">
      <c r="A90" s="54" t="s">
        <v>240</v>
      </c>
      <c r="B90" s="67">
        <f>SUMIFS('Safeguard facility data'!BI$4:BI$312,'Safeguard facility data'!$Q$4:$Q$312,$A90,'Safeguard facility data'!BI$4:BI$312,"&gt;0")</f>
        <v>0</v>
      </c>
      <c r="C90" s="67">
        <f>SUMIFS('Safeguard facility data'!BJ$4:BJ$312,'Safeguard facility data'!$Q$4:$Q$312,$A90,'Safeguard facility data'!BJ$4:BJ$312,"&gt;0")</f>
        <v>0</v>
      </c>
      <c r="D90" s="67">
        <f>SUMIFS('Safeguard facility data'!BK$4:BK$312,'Safeguard facility data'!$Q$4:$Q$312,$A90,'Safeguard facility data'!BK$4:BK$312,"&gt;0")</f>
        <v>0</v>
      </c>
      <c r="E90" s="67">
        <f>SUMIFS('Safeguard facility data'!BL$4:BL$312,'Safeguard facility data'!$Q$4:$Q$312,$A90,'Safeguard facility data'!BL$4:BL$312,"&gt;0")</f>
        <v>0</v>
      </c>
      <c r="F90" s="67">
        <f>SUMIFS('Safeguard facility data'!BM$4:BM$312,'Safeguard facility data'!$Q$4:$Q$312,$A90,'Safeguard facility data'!BM$4:BM$312,"&gt;0")</f>
        <v>0</v>
      </c>
      <c r="G90" s="61">
        <f t="shared" si="8"/>
        <v>0</v>
      </c>
      <c r="H90" s="91">
        <f t="shared" si="9"/>
        <v>0</v>
      </c>
      <c r="I90" s="91"/>
      <c r="J90" s="91"/>
      <c r="K90" s="91"/>
      <c r="L90" s="91"/>
      <c r="M90" s="91"/>
      <c r="N90" s="91"/>
      <c r="O90" s="91"/>
      <c r="P90" s="91"/>
      <c r="Q90" s="91"/>
    </row>
    <row r="91" spans="1:17" ht="14.5">
      <c r="A91" s="54" t="s">
        <v>165</v>
      </c>
      <c r="B91" s="67">
        <f>SUMIFS('Safeguard facility data'!BI$4:BI$312,'Safeguard facility data'!$Q$4:$Q$312,$A91,'Safeguard facility data'!BI$4:BI$312,"&gt;0")</f>
        <v>0</v>
      </c>
      <c r="C91" s="67">
        <f>SUMIFS('Safeguard facility data'!BJ$4:BJ$312,'Safeguard facility data'!$Q$4:$Q$312,$A91,'Safeguard facility data'!BJ$4:BJ$312,"&gt;0")</f>
        <v>0</v>
      </c>
      <c r="D91" s="67">
        <f>SUMIFS('Safeguard facility data'!BK$4:BK$312,'Safeguard facility data'!$Q$4:$Q$312,$A91,'Safeguard facility data'!BK$4:BK$312,"&gt;0")</f>
        <v>0</v>
      </c>
      <c r="E91" s="67">
        <f>SUMIFS('Safeguard facility data'!BL$4:BL$312,'Safeguard facility data'!$Q$4:$Q$312,$A91,'Safeguard facility data'!BL$4:BL$312,"&gt;0")</f>
        <v>0</v>
      </c>
      <c r="F91" s="67">
        <f>SUMIFS('Safeguard facility data'!BM$4:BM$312,'Safeguard facility data'!$Q$4:$Q$312,$A91,'Safeguard facility data'!BM$4:BM$312,"&gt;0")</f>
        <v>0</v>
      </c>
      <c r="G91" s="61">
        <f t="shared" si="8"/>
        <v>0</v>
      </c>
      <c r="H91" s="91">
        <f t="shared" si="9"/>
        <v>0</v>
      </c>
      <c r="I91" s="91"/>
      <c r="J91" s="91"/>
      <c r="K91" s="91"/>
      <c r="L91" s="91"/>
      <c r="M91" s="91"/>
      <c r="N91" s="91"/>
      <c r="O91" s="91"/>
      <c r="P91" s="91"/>
      <c r="Q91" s="91"/>
    </row>
    <row r="92" spans="1:17" ht="14.5">
      <c r="A92" s="54" t="s">
        <v>129</v>
      </c>
      <c r="B92" s="67">
        <f>SUMIFS('Safeguard facility data'!BI$4:BI$312,'Safeguard facility data'!$Q$4:$Q$312,$A92,'Safeguard facility data'!BI$4:BI$312,"&gt;0")</f>
        <v>0</v>
      </c>
      <c r="C92" s="67">
        <f>SUMIFS('Safeguard facility data'!BJ$4:BJ$312,'Safeguard facility data'!$Q$4:$Q$312,$A92,'Safeguard facility data'!BJ$4:BJ$312,"&gt;0")</f>
        <v>0</v>
      </c>
      <c r="D92" s="67">
        <f>SUMIFS('Safeguard facility data'!BK$4:BK$312,'Safeguard facility data'!$Q$4:$Q$312,$A92,'Safeguard facility data'!BK$4:BK$312,"&gt;0")</f>
        <v>0</v>
      </c>
      <c r="E92" s="67">
        <f>SUMIFS('Safeguard facility data'!BL$4:BL$312,'Safeguard facility data'!$Q$4:$Q$312,$A92,'Safeguard facility data'!BL$4:BL$312,"&gt;0")</f>
        <v>0</v>
      </c>
      <c r="F92" s="67">
        <f>SUMIFS('Safeguard facility data'!BM$4:BM$312,'Safeguard facility data'!$Q$4:$Q$312,$A92,'Safeguard facility data'!BM$4:BM$312,"&gt;0")</f>
        <v>0</v>
      </c>
      <c r="G92" s="61">
        <f t="shared" si="8"/>
        <v>0</v>
      </c>
      <c r="H92" s="91">
        <f t="shared" si="9"/>
        <v>0</v>
      </c>
      <c r="I92" s="91"/>
      <c r="J92" s="91"/>
      <c r="K92" s="91"/>
      <c r="L92" s="91"/>
      <c r="M92" s="91"/>
      <c r="N92" s="91"/>
      <c r="O92" s="91"/>
      <c r="P92" s="91"/>
      <c r="Q92" s="91"/>
    </row>
    <row r="93" spans="1:17" ht="14.5">
      <c r="A93" s="54" t="s">
        <v>166</v>
      </c>
      <c r="B93" s="67">
        <f>SUMIFS('Safeguard facility data'!BI$4:BI$312,'Safeguard facility data'!$Q$4:$Q$312,$A93,'Safeguard facility data'!BI$4:BI$312,"&gt;0")</f>
        <v>0</v>
      </c>
      <c r="C93" s="67">
        <f>SUMIFS('Safeguard facility data'!BJ$4:BJ$312,'Safeguard facility data'!$Q$4:$Q$312,$A93,'Safeguard facility data'!BJ$4:BJ$312,"&gt;0")</f>
        <v>0</v>
      </c>
      <c r="D93" s="67">
        <f>SUMIFS('Safeguard facility data'!BK$4:BK$312,'Safeguard facility data'!$Q$4:$Q$312,$A93,'Safeguard facility data'!BK$4:BK$312,"&gt;0")</f>
        <v>0</v>
      </c>
      <c r="E93" s="67">
        <f>SUMIFS('Safeguard facility data'!BL$4:BL$312,'Safeguard facility data'!$Q$4:$Q$312,$A93,'Safeguard facility data'!BL$4:BL$312,"&gt;0")</f>
        <v>0</v>
      </c>
      <c r="F93" s="67">
        <f>SUMIFS('Safeguard facility data'!BM$4:BM$312,'Safeguard facility data'!$Q$4:$Q$312,$A93,'Safeguard facility data'!BM$4:BM$312,"&gt;0")</f>
        <v>0</v>
      </c>
      <c r="G93" s="61">
        <f t="shared" si="8"/>
        <v>0</v>
      </c>
      <c r="H93" s="91">
        <f t="shared" si="9"/>
        <v>0</v>
      </c>
      <c r="I93" s="91"/>
      <c r="J93" s="91"/>
      <c r="K93" s="91"/>
      <c r="L93" s="91"/>
      <c r="M93" s="91"/>
      <c r="N93" s="91"/>
      <c r="O93" s="91"/>
      <c r="P93" s="91"/>
      <c r="Q93" s="91"/>
    </row>
    <row r="94" spans="1:17" ht="14.5">
      <c r="A94" s="54" t="s">
        <v>241</v>
      </c>
      <c r="B94" s="67">
        <f>SUMIFS('Safeguard facility data'!BI$4:BI$312,'Safeguard facility data'!$Q$4:$Q$312,$A94,'Safeguard facility data'!BI$4:BI$312,"&gt;0")</f>
        <v>0</v>
      </c>
      <c r="C94" s="67">
        <f>SUMIFS('Safeguard facility data'!BJ$4:BJ$312,'Safeguard facility data'!$Q$4:$Q$312,$A94,'Safeguard facility data'!BJ$4:BJ$312,"&gt;0")</f>
        <v>0</v>
      </c>
      <c r="D94" s="67">
        <f>SUMIFS('Safeguard facility data'!BK$4:BK$312,'Safeguard facility data'!$Q$4:$Q$312,$A94,'Safeguard facility data'!BK$4:BK$312,"&gt;0")</f>
        <v>0</v>
      </c>
      <c r="E94" s="67">
        <f>SUMIFS('Safeguard facility data'!BL$4:BL$312,'Safeguard facility data'!$Q$4:$Q$312,$A94,'Safeguard facility data'!BL$4:BL$312,"&gt;0")</f>
        <v>0</v>
      </c>
      <c r="F94" s="67">
        <f>SUMIFS('Safeguard facility data'!BM$4:BM$312,'Safeguard facility data'!$Q$4:$Q$312,$A94,'Safeguard facility data'!BM$4:BM$312,"&gt;0")</f>
        <v>0</v>
      </c>
      <c r="G94" s="61">
        <f t="shared" si="8"/>
        <v>0</v>
      </c>
      <c r="H94" s="91">
        <f t="shared" si="9"/>
        <v>0</v>
      </c>
      <c r="I94" s="91"/>
      <c r="J94" s="91"/>
      <c r="K94" s="91"/>
      <c r="L94" s="91"/>
      <c r="M94" s="91"/>
      <c r="N94" s="91"/>
      <c r="O94" s="91"/>
      <c r="P94" s="91"/>
      <c r="Q94" s="91"/>
    </row>
    <row r="95" spans="1:17" ht="14.5">
      <c r="A95" s="54" t="s">
        <v>167</v>
      </c>
      <c r="B95" s="67">
        <f>SUMIFS('Safeguard facility data'!BI$4:BI$312,'Safeguard facility data'!$Q$4:$Q$312,$A95,'Safeguard facility data'!BI$4:BI$312,"&gt;0")</f>
        <v>0</v>
      </c>
      <c r="C95" s="67">
        <f>SUMIFS('Safeguard facility data'!BJ$4:BJ$312,'Safeguard facility data'!$Q$4:$Q$312,$A95,'Safeguard facility data'!BJ$4:BJ$312,"&gt;0")</f>
        <v>0</v>
      </c>
      <c r="D95" s="67">
        <f>SUMIFS('Safeguard facility data'!BK$4:BK$312,'Safeguard facility data'!$Q$4:$Q$312,$A95,'Safeguard facility data'!BK$4:BK$312,"&gt;0")</f>
        <v>0</v>
      </c>
      <c r="E95" s="67">
        <f>SUMIFS('Safeguard facility data'!BL$4:BL$312,'Safeguard facility data'!$Q$4:$Q$312,$A95,'Safeguard facility data'!BL$4:BL$312,"&gt;0")</f>
        <v>0</v>
      </c>
      <c r="F95" s="67">
        <f>SUMIFS('Safeguard facility data'!BM$4:BM$312,'Safeguard facility data'!$Q$4:$Q$312,$A95,'Safeguard facility data'!BM$4:BM$312,"&gt;0")</f>
        <v>0</v>
      </c>
      <c r="G95" s="61">
        <f t="shared" si="8"/>
        <v>0</v>
      </c>
      <c r="H95" s="91">
        <f t="shared" si="9"/>
        <v>0</v>
      </c>
      <c r="I95" s="91"/>
      <c r="J95" s="91"/>
      <c r="K95" s="91"/>
      <c r="L95" s="91"/>
      <c r="M95" s="91"/>
      <c r="N95" s="91"/>
      <c r="O95" s="91"/>
      <c r="P95" s="91"/>
      <c r="Q95" s="91"/>
    </row>
    <row r="96" spans="1:17" ht="14.5">
      <c r="A96" s="54" t="s">
        <v>242</v>
      </c>
      <c r="B96" s="67">
        <f>SUMIFS('Safeguard facility data'!BI$4:BI$312,'Safeguard facility data'!$Q$4:$Q$312,$A96,'Safeguard facility data'!BI$4:BI$312,"&gt;0")</f>
        <v>0</v>
      </c>
      <c r="C96" s="67">
        <f>SUMIFS('Safeguard facility data'!BJ$4:BJ$312,'Safeguard facility data'!$Q$4:$Q$312,$A96,'Safeguard facility data'!BJ$4:BJ$312,"&gt;0")</f>
        <v>0</v>
      </c>
      <c r="D96" s="67">
        <f>SUMIFS('Safeguard facility data'!BK$4:BK$312,'Safeguard facility data'!$Q$4:$Q$312,$A96,'Safeguard facility data'!BK$4:BK$312,"&gt;0")</f>
        <v>0</v>
      </c>
      <c r="E96" s="67">
        <f>SUMIFS('Safeguard facility data'!BL$4:BL$312,'Safeguard facility data'!$Q$4:$Q$312,$A96,'Safeguard facility data'!BL$4:BL$312,"&gt;0")</f>
        <v>0</v>
      </c>
      <c r="F96" s="67">
        <f>SUMIFS('Safeguard facility data'!BM$4:BM$312,'Safeguard facility data'!$Q$4:$Q$312,$A96,'Safeguard facility data'!BM$4:BM$312,"&gt;0")</f>
        <v>0</v>
      </c>
      <c r="G96" s="61">
        <f t="shared" si="8"/>
        <v>0</v>
      </c>
      <c r="H96" s="91">
        <f t="shared" si="9"/>
        <v>0</v>
      </c>
      <c r="I96" s="91"/>
      <c r="J96" s="91"/>
      <c r="K96" s="91"/>
      <c r="L96" s="91"/>
      <c r="M96" s="91"/>
      <c r="N96" s="91"/>
      <c r="O96" s="91"/>
      <c r="P96" s="91"/>
      <c r="Q96" s="91"/>
    </row>
    <row r="97" spans="1:17" ht="14.5">
      <c r="A97" s="54" t="s">
        <v>168</v>
      </c>
      <c r="B97" s="67">
        <f>SUMIFS('Safeguard facility data'!BI$4:BI$312,'Safeguard facility data'!$Q$4:$Q$312,$A97,'Safeguard facility data'!BI$4:BI$312,"&gt;0")</f>
        <v>0</v>
      </c>
      <c r="C97" s="67">
        <f>SUMIFS('Safeguard facility data'!BJ$4:BJ$312,'Safeguard facility data'!$Q$4:$Q$312,$A97,'Safeguard facility data'!BJ$4:BJ$312,"&gt;0")</f>
        <v>0</v>
      </c>
      <c r="D97" s="67">
        <f>SUMIFS('Safeguard facility data'!BK$4:BK$312,'Safeguard facility data'!$Q$4:$Q$312,$A97,'Safeguard facility data'!BK$4:BK$312,"&gt;0")</f>
        <v>0</v>
      </c>
      <c r="E97" s="67">
        <f>SUMIFS('Safeguard facility data'!BL$4:BL$312,'Safeguard facility data'!$Q$4:$Q$312,$A97,'Safeguard facility data'!BL$4:BL$312,"&gt;0")</f>
        <v>0</v>
      </c>
      <c r="F97" s="67">
        <f>SUMIFS('Safeguard facility data'!BM$4:BM$312,'Safeguard facility data'!$Q$4:$Q$312,$A97,'Safeguard facility data'!BM$4:BM$312,"&gt;0")</f>
        <v>0</v>
      </c>
      <c r="G97" s="61">
        <f t="shared" si="8"/>
        <v>0</v>
      </c>
      <c r="H97" s="91">
        <f t="shared" si="9"/>
        <v>0</v>
      </c>
      <c r="I97" s="91"/>
      <c r="J97" s="91"/>
      <c r="K97" s="91"/>
      <c r="L97" s="91"/>
      <c r="M97" s="91"/>
      <c r="N97" s="91"/>
      <c r="O97" s="91"/>
      <c r="P97" s="91"/>
      <c r="Q97" s="91"/>
    </row>
    <row r="98" spans="1:17" ht="14.5">
      <c r="A98" s="54" t="s">
        <v>243</v>
      </c>
      <c r="B98" s="67">
        <f>SUMIFS('Safeguard facility data'!BI$4:BI$312,'Safeguard facility data'!$Q$4:$Q$312,$A98,'Safeguard facility data'!BI$4:BI$312,"&gt;0")</f>
        <v>0</v>
      </c>
      <c r="C98" s="67">
        <f>SUMIFS('Safeguard facility data'!BJ$4:BJ$312,'Safeguard facility data'!$Q$4:$Q$312,$A98,'Safeguard facility data'!BJ$4:BJ$312,"&gt;0")</f>
        <v>0</v>
      </c>
      <c r="D98" s="67">
        <f>SUMIFS('Safeguard facility data'!BK$4:BK$312,'Safeguard facility data'!$Q$4:$Q$312,$A98,'Safeguard facility data'!BK$4:BK$312,"&gt;0")</f>
        <v>0</v>
      </c>
      <c r="E98" s="67">
        <f>SUMIFS('Safeguard facility data'!BL$4:BL$312,'Safeguard facility data'!$Q$4:$Q$312,$A98,'Safeguard facility data'!BL$4:BL$312,"&gt;0")</f>
        <v>0</v>
      </c>
      <c r="F98" s="67">
        <f>SUMIFS('Safeguard facility data'!BM$4:BM$312,'Safeguard facility data'!$Q$4:$Q$312,$A98,'Safeguard facility data'!BM$4:BM$312,"&gt;0")</f>
        <v>0</v>
      </c>
      <c r="G98" s="61">
        <f t="shared" si="8"/>
        <v>0</v>
      </c>
      <c r="H98" s="91">
        <f t="shared" si="9"/>
        <v>0</v>
      </c>
      <c r="I98" s="91"/>
      <c r="J98" s="91"/>
      <c r="K98" s="91"/>
      <c r="L98" s="91"/>
      <c r="M98" s="91"/>
      <c r="N98" s="91"/>
      <c r="O98" s="91"/>
      <c r="P98" s="91"/>
      <c r="Q98" s="91"/>
    </row>
    <row r="99" spans="1:17" ht="14.5">
      <c r="A99" s="54" t="s">
        <v>169</v>
      </c>
      <c r="B99" s="67">
        <f>SUMIFS('Safeguard facility data'!BI$4:BI$312,'Safeguard facility data'!$Q$4:$Q$312,$A99,'Safeguard facility data'!BI$4:BI$312,"&gt;0")</f>
        <v>0</v>
      </c>
      <c r="C99" s="67">
        <f>SUMIFS('Safeguard facility data'!BJ$4:BJ$312,'Safeguard facility data'!$Q$4:$Q$312,$A99,'Safeguard facility data'!BJ$4:BJ$312,"&gt;0")</f>
        <v>0</v>
      </c>
      <c r="D99" s="67">
        <f>SUMIFS('Safeguard facility data'!BK$4:BK$312,'Safeguard facility data'!$Q$4:$Q$312,$A99,'Safeguard facility data'!BK$4:BK$312,"&gt;0")</f>
        <v>0</v>
      </c>
      <c r="E99" s="67">
        <f>SUMIFS('Safeguard facility data'!BL$4:BL$312,'Safeguard facility data'!$Q$4:$Q$312,$A99,'Safeguard facility data'!BL$4:BL$312,"&gt;0")</f>
        <v>0</v>
      </c>
      <c r="F99" s="67">
        <f>SUMIFS('Safeguard facility data'!BM$4:BM$312,'Safeguard facility data'!$Q$4:$Q$312,$A99,'Safeguard facility data'!BM$4:BM$312,"&gt;0")</f>
        <v>0</v>
      </c>
      <c r="G99" s="61">
        <f t="shared" si="8"/>
        <v>0</v>
      </c>
      <c r="H99" s="91">
        <f t="shared" si="9"/>
        <v>0</v>
      </c>
      <c r="I99" s="91"/>
      <c r="J99" s="91"/>
      <c r="K99" s="91"/>
      <c r="L99" s="91"/>
      <c r="M99" s="91"/>
      <c r="N99" s="91"/>
      <c r="O99" s="91"/>
      <c r="P99" s="91"/>
      <c r="Q99" s="91"/>
    </row>
    <row r="100" spans="1:17" ht="14.5">
      <c r="A100" s="54" t="s">
        <v>244</v>
      </c>
      <c r="B100" s="67">
        <f>SUMIFS('Safeguard facility data'!BI$4:BI$312,'Safeguard facility data'!$Q$4:$Q$312,$A100,'Safeguard facility data'!BI$4:BI$312,"&gt;0")</f>
        <v>0</v>
      </c>
      <c r="C100" s="67">
        <f>SUMIFS('Safeguard facility data'!BJ$4:BJ$312,'Safeguard facility data'!$Q$4:$Q$312,$A100,'Safeguard facility data'!BJ$4:BJ$312,"&gt;0")</f>
        <v>0</v>
      </c>
      <c r="D100" s="67">
        <f>SUMIFS('Safeguard facility data'!BK$4:BK$312,'Safeguard facility data'!$Q$4:$Q$312,$A100,'Safeguard facility data'!BK$4:BK$312,"&gt;0")</f>
        <v>0</v>
      </c>
      <c r="E100" s="67">
        <f>SUMIFS('Safeguard facility data'!BL$4:BL$312,'Safeguard facility data'!$Q$4:$Q$312,$A100,'Safeguard facility data'!BL$4:BL$312,"&gt;0")</f>
        <v>0</v>
      </c>
      <c r="F100" s="67">
        <f>SUMIFS('Safeguard facility data'!BM$4:BM$312,'Safeguard facility data'!$Q$4:$Q$312,$A100,'Safeguard facility data'!BM$4:BM$312,"&gt;0")</f>
        <v>0</v>
      </c>
      <c r="G100" s="61">
        <f t="shared" si="8"/>
        <v>0</v>
      </c>
      <c r="H100" s="91">
        <f t="shared" si="9"/>
        <v>0</v>
      </c>
      <c r="I100" s="91"/>
      <c r="J100" s="91"/>
      <c r="K100" s="91"/>
      <c r="L100" s="91"/>
      <c r="M100" s="91"/>
      <c r="N100" s="91"/>
      <c r="O100" s="91"/>
      <c r="P100" s="91"/>
      <c r="Q100" s="91"/>
    </row>
    <row r="101" spans="1:17" ht="14.5">
      <c r="A101" s="54" t="s">
        <v>245</v>
      </c>
      <c r="B101" s="67">
        <f>SUMIFS('Safeguard facility data'!BI$4:BI$312,'Safeguard facility data'!$Q$4:$Q$312,$A101,'Safeguard facility data'!BI$4:BI$312,"&gt;0")</f>
        <v>0</v>
      </c>
      <c r="C101" s="67">
        <f>SUMIFS('Safeguard facility data'!BJ$4:BJ$312,'Safeguard facility data'!$Q$4:$Q$312,$A101,'Safeguard facility data'!BJ$4:BJ$312,"&gt;0")</f>
        <v>0</v>
      </c>
      <c r="D101" s="67">
        <f>SUMIFS('Safeguard facility data'!BK$4:BK$312,'Safeguard facility data'!$Q$4:$Q$312,$A101,'Safeguard facility data'!BK$4:BK$312,"&gt;0")</f>
        <v>0</v>
      </c>
      <c r="E101" s="67">
        <f>SUMIFS('Safeguard facility data'!BL$4:BL$312,'Safeguard facility data'!$Q$4:$Q$312,$A101,'Safeguard facility data'!BL$4:BL$312,"&gt;0")</f>
        <v>0</v>
      </c>
      <c r="F101" s="67">
        <f>SUMIFS('Safeguard facility data'!BM$4:BM$312,'Safeguard facility data'!$Q$4:$Q$312,$A101,'Safeguard facility data'!BM$4:BM$312,"&gt;0")</f>
        <v>0</v>
      </c>
      <c r="G101" s="61">
        <f t="shared" si="8"/>
        <v>0</v>
      </c>
      <c r="H101" s="91">
        <f t="shared" si="9"/>
        <v>0</v>
      </c>
      <c r="I101" s="91"/>
      <c r="J101" s="91"/>
      <c r="K101" s="91"/>
      <c r="L101" s="91"/>
      <c r="M101" s="91"/>
      <c r="N101" s="91"/>
      <c r="O101" s="91"/>
      <c r="P101" s="91"/>
      <c r="Q101" s="91"/>
    </row>
    <row r="102" spans="1:17" ht="14.5">
      <c r="A102" s="54" t="s">
        <v>267</v>
      </c>
      <c r="B102" s="67">
        <f>SUMIFS('Safeguard facility data'!BI$4:BI$312,'Safeguard facility data'!$Q$4:$Q$312,$A102,'Safeguard facility data'!BI$4:BI$312,"&gt;0")</f>
        <v>0</v>
      </c>
      <c r="C102" s="67">
        <f>SUMIFS('Safeguard facility data'!BJ$4:BJ$312,'Safeguard facility data'!$Q$4:$Q$312,$A102,'Safeguard facility data'!BJ$4:BJ$312,"&gt;0")</f>
        <v>0</v>
      </c>
      <c r="D102" s="67">
        <f>SUMIFS('Safeguard facility data'!BK$4:BK$312,'Safeguard facility data'!$Q$4:$Q$312,$A102,'Safeguard facility data'!BK$4:BK$312,"&gt;0")</f>
        <v>0</v>
      </c>
      <c r="E102" s="67">
        <f>SUMIFS('Safeguard facility data'!BL$4:BL$312,'Safeguard facility data'!$Q$4:$Q$312,$A102,'Safeguard facility data'!BL$4:BL$312,"&gt;0")</f>
        <v>0</v>
      </c>
      <c r="F102" s="67">
        <f>SUMIFS('Safeguard facility data'!BM$4:BM$312,'Safeguard facility data'!$Q$4:$Q$312,$A102,'Safeguard facility data'!BM$4:BM$312,"&gt;0")</f>
        <v>0</v>
      </c>
      <c r="G102" s="61">
        <f t="shared" si="8"/>
        <v>0</v>
      </c>
      <c r="H102" s="91">
        <f t="shared" si="9"/>
        <v>0</v>
      </c>
      <c r="I102" s="91"/>
      <c r="J102" s="91"/>
      <c r="K102" s="91"/>
      <c r="L102" s="91"/>
      <c r="M102" s="91"/>
      <c r="N102" s="91"/>
      <c r="O102" s="91"/>
      <c r="P102" s="91"/>
      <c r="Q102" s="91"/>
    </row>
    <row r="103" spans="1:17" ht="14.5">
      <c r="A103" s="54" t="s">
        <v>269</v>
      </c>
      <c r="B103" s="67">
        <f>SUMIFS('Safeguard facility data'!BI$4:BI$312,'Safeguard facility data'!$Q$4:$Q$312,$A103,'Safeguard facility data'!BI$4:BI$312,"&gt;0")</f>
        <v>0</v>
      </c>
      <c r="C103" s="67">
        <f>SUMIFS('Safeguard facility data'!BJ$4:BJ$312,'Safeguard facility data'!$Q$4:$Q$312,$A103,'Safeguard facility data'!BJ$4:BJ$312,"&gt;0")</f>
        <v>0</v>
      </c>
      <c r="D103" s="67">
        <f>SUMIFS('Safeguard facility data'!BK$4:BK$312,'Safeguard facility data'!$Q$4:$Q$312,$A103,'Safeguard facility data'!BK$4:BK$312,"&gt;0")</f>
        <v>0</v>
      </c>
      <c r="E103" s="67">
        <f>SUMIFS('Safeguard facility data'!BL$4:BL$312,'Safeguard facility data'!$Q$4:$Q$312,$A103,'Safeguard facility data'!BL$4:BL$312,"&gt;0")</f>
        <v>0</v>
      </c>
      <c r="F103" s="67">
        <f>SUMIFS('Safeguard facility data'!BM$4:BM$312,'Safeguard facility data'!$Q$4:$Q$312,$A103,'Safeguard facility data'!BM$4:BM$312,"&gt;0")</f>
        <v>0</v>
      </c>
      <c r="G103" s="61">
        <f t="shared" si="8"/>
        <v>0</v>
      </c>
      <c r="H103" s="91">
        <f t="shared" si="9"/>
        <v>0</v>
      </c>
      <c r="I103" s="91"/>
      <c r="J103" s="91"/>
      <c r="K103" s="91"/>
      <c r="L103" s="91"/>
      <c r="M103" s="91"/>
      <c r="N103" s="91"/>
      <c r="O103" s="91"/>
      <c r="P103" s="91"/>
      <c r="Q103" s="91"/>
    </row>
    <row r="104" spans="1:17" ht="14.5">
      <c r="A104" s="54" t="s">
        <v>170</v>
      </c>
      <c r="B104" s="67">
        <f>SUMIFS('Safeguard facility data'!BI$4:BI$312,'Safeguard facility data'!$Q$4:$Q$312,$A104,'Safeguard facility data'!BI$4:BI$312,"&gt;0")</f>
        <v>0</v>
      </c>
      <c r="C104" s="67">
        <f>SUMIFS('Safeguard facility data'!BJ$4:BJ$312,'Safeguard facility data'!$Q$4:$Q$312,$A104,'Safeguard facility data'!BJ$4:BJ$312,"&gt;0")</f>
        <v>0</v>
      </c>
      <c r="D104" s="67">
        <f>SUMIFS('Safeguard facility data'!BK$4:BK$312,'Safeguard facility data'!$Q$4:$Q$312,$A104,'Safeguard facility data'!BK$4:BK$312,"&gt;0")</f>
        <v>0</v>
      </c>
      <c r="E104" s="67">
        <f>SUMIFS('Safeguard facility data'!BL$4:BL$312,'Safeguard facility data'!$Q$4:$Q$312,$A104,'Safeguard facility data'!BL$4:BL$312,"&gt;0")</f>
        <v>0</v>
      </c>
      <c r="F104" s="67">
        <f>SUMIFS('Safeguard facility data'!BM$4:BM$312,'Safeguard facility data'!$Q$4:$Q$312,$A104,'Safeguard facility data'!BM$4:BM$312,"&gt;0")</f>
        <v>0</v>
      </c>
      <c r="G104" s="61">
        <f t="shared" si="8"/>
        <v>0</v>
      </c>
      <c r="H104" s="91">
        <f t="shared" si="9"/>
        <v>0</v>
      </c>
      <c r="I104" s="91"/>
      <c r="J104" s="91"/>
      <c r="K104" s="91"/>
      <c r="L104" s="91"/>
      <c r="M104" s="91"/>
      <c r="N104" s="91"/>
      <c r="O104" s="91"/>
      <c r="P104" s="91"/>
      <c r="Q104" s="91"/>
    </row>
    <row r="105" spans="1:17" ht="14.5">
      <c r="A105" s="54" t="s">
        <v>246</v>
      </c>
      <c r="B105" s="67">
        <f>SUMIFS('Safeguard facility data'!BI$4:BI$312,'Safeguard facility data'!$Q$4:$Q$312,$A105,'Safeguard facility data'!BI$4:BI$312,"&gt;0")</f>
        <v>0</v>
      </c>
      <c r="C105" s="67">
        <f>SUMIFS('Safeguard facility data'!BJ$4:BJ$312,'Safeguard facility data'!$Q$4:$Q$312,$A105,'Safeguard facility data'!BJ$4:BJ$312,"&gt;0")</f>
        <v>0</v>
      </c>
      <c r="D105" s="67">
        <f>SUMIFS('Safeguard facility data'!BK$4:BK$312,'Safeguard facility data'!$Q$4:$Q$312,$A105,'Safeguard facility data'!BK$4:BK$312,"&gt;0")</f>
        <v>0</v>
      </c>
      <c r="E105" s="67">
        <f>SUMIFS('Safeguard facility data'!BL$4:BL$312,'Safeguard facility data'!$Q$4:$Q$312,$A105,'Safeguard facility data'!BL$4:BL$312,"&gt;0")</f>
        <v>0</v>
      </c>
      <c r="F105" s="67">
        <f>SUMIFS('Safeguard facility data'!BM$4:BM$312,'Safeguard facility data'!$Q$4:$Q$312,$A105,'Safeguard facility data'!BM$4:BM$312,"&gt;0")</f>
        <v>0</v>
      </c>
      <c r="G105" s="61">
        <f t="shared" ref="G105:G136" si="10">SUM(B105:F105)</f>
        <v>0</v>
      </c>
      <c r="H105" s="91">
        <f t="shared" ref="H105:H136" si="11">G105/$G$3</f>
        <v>0</v>
      </c>
      <c r="I105" s="91"/>
      <c r="J105" s="91"/>
      <c r="K105" s="91"/>
      <c r="L105" s="91"/>
      <c r="M105" s="91"/>
      <c r="N105" s="91"/>
      <c r="O105" s="91"/>
      <c r="P105" s="91"/>
      <c r="Q105" s="91"/>
    </row>
    <row r="106" spans="1:17" ht="14.5">
      <c r="A106" s="54" t="s">
        <v>171</v>
      </c>
      <c r="B106" s="67">
        <f>SUMIFS('Safeguard facility data'!BI$4:BI$312,'Safeguard facility data'!$Q$4:$Q$312,$A106,'Safeguard facility data'!BI$4:BI$312,"&gt;0")</f>
        <v>0</v>
      </c>
      <c r="C106" s="67">
        <f>SUMIFS('Safeguard facility data'!BJ$4:BJ$312,'Safeguard facility data'!$Q$4:$Q$312,$A106,'Safeguard facility data'!BJ$4:BJ$312,"&gt;0")</f>
        <v>0</v>
      </c>
      <c r="D106" s="67">
        <f>SUMIFS('Safeguard facility data'!BK$4:BK$312,'Safeguard facility data'!$Q$4:$Q$312,$A106,'Safeguard facility data'!BK$4:BK$312,"&gt;0")</f>
        <v>0</v>
      </c>
      <c r="E106" s="67">
        <f>SUMIFS('Safeguard facility data'!BL$4:BL$312,'Safeguard facility data'!$Q$4:$Q$312,$A106,'Safeguard facility data'!BL$4:BL$312,"&gt;0")</f>
        <v>0</v>
      </c>
      <c r="F106" s="67">
        <f>SUMIFS('Safeguard facility data'!BM$4:BM$312,'Safeguard facility data'!$Q$4:$Q$312,$A106,'Safeguard facility data'!BM$4:BM$312,"&gt;0")</f>
        <v>0</v>
      </c>
      <c r="G106" s="61">
        <f t="shared" si="10"/>
        <v>0</v>
      </c>
      <c r="H106" s="91">
        <f t="shared" si="11"/>
        <v>0</v>
      </c>
      <c r="I106" s="91"/>
      <c r="J106" s="91"/>
      <c r="K106" s="91"/>
      <c r="L106" s="91"/>
      <c r="M106" s="91"/>
      <c r="N106" s="91"/>
      <c r="O106" s="91"/>
      <c r="P106" s="91"/>
      <c r="Q106" s="91"/>
    </row>
    <row r="107" spans="1:17" ht="14.5">
      <c r="A107" s="54" t="s">
        <v>172</v>
      </c>
      <c r="B107" s="67">
        <f>SUMIFS('Safeguard facility data'!BI$4:BI$312,'Safeguard facility data'!$Q$4:$Q$312,$A107,'Safeguard facility data'!BI$4:BI$312,"&gt;0")</f>
        <v>0</v>
      </c>
      <c r="C107" s="67">
        <f>SUMIFS('Safeguard facility data'!BJ$4:BJ$312,'Safeguard facility data'!$Q$4:$Q$312,$A107,'Safeguard facility data'!BJ$4:BJ$312,"&gt;0")</f>
        <v>0</v>
      </c>
      <c r="D107" s="67">
        <f>SUMIFS('Safeguard facility data'!BK$4:BK$312,'Safeguard facility data'!$Q$4:$Q$312,$A107,'Safeguard facility data'!BK$4:BK$312,"&gt;0")</f>
        <v>0</v>
      </c>
      <c r="E107" s="67">
        <f>SUMIFS('Safeguard facility data'!BL$4:BL$312,'Safeguard facility data'!$Q$4:$Q$312,$A107,'Safeguard facility data'!BL$4:BL$312,"&gt;0")</f>
        <v>0</v>
      </c>
      <c r="F107" s="67">
        <f>SUMIFS('Safeguard facility data'!BM$4:BM$312,'Safeguard facility data'!$Q$4:$Q$312,$A107,'Safeguard facility data'!BM$4:BM$312,"&gt;0")</f>
        <v>0</v>
      </c>
      <c r="G107" s="61">
        <f t="shared" si="10"/>
        <v>0</v>
      </c>
      <c r="H107" s="91">
        <f t="shared" si="11"/>
        <v>0</v>
      </c>
      <c r="I107" s="91"/>
      <c r="J107" s="91"/>
      <c r="K107" s="91"/>
      <c r="L107" s="91"/>
      <c r="M107" s="91"/>
      <c r="N107" s="91"/>
      <c r="O107" s="91"/>
      <c r="P107" s="91"/>
      <c r="Q107" s="91"/>
    </row>
    <row r="108" spans="1:17" ht="14.5">
      <c r="A108" s="54" t="s">
        <v>247</v>
      </c>
      <c r="B108" s="67">
        <f>SUMIFS('Safeguard facility data'!BI$4:BI$312,'Safeguard facility data'!$Q$4:$Q$312,$A108,'Safeguard facility data'!BI$4:BI$312,"&gt;0")</f>
        <v>0</v>
      </c>
      <c r="C108" s="67">
        <f>SUMIFS('Safeguard facility data'!BJ$4:BJ$312,'Safeguard facility data'!$Q$4:$Q$312,$A108,'Safeguard facility data'!BJ$4:BJ$312,"&gt;0")</f>
        <v>0</v>
      </c>
      <c r="D108" s="67">
        <f>SUMIFS('Safeguard facility data'!BK$4:BK$312,'Safeguard facility data'!$Q$4:$Q$312,$A108,'Safeguard facility data'!BK$4:BK$312,"&gt;0")</f>
        <v>0</v>
      </c>
      <c r="E108" s="67">
        <f>SUMIFS('Safeguard facility data'!BL$4:BL$312,'Safeguard facility data'!$Q$4:$Q$312,$A108,'Safeguard facility data'!BL$4:BL$312,"&gt;0")</f>
        <v>0</v>
      </c>
      <c r="F108" s="67">
        <f>SUMIFS('Safeguard facility data'!BM$4:BM$312,'Safeguard facility data'!$Q$4:$Q$312,$A108,'Safeguard facility data'!BM$4:BM$312,"&gt;0")</f>
        <v>0</v>
      </c>
      <c r="G108" s="61">
        <f t="shared" si="10"/>
        <v>0</v>
      </c>
      <c r="H108" s="91">
        <f t="shared" si="11"/>
        <v>0</v>
      </c>
      <c r="I108" s="91"/>
      <c r="J108" s="91"/>
      <c r="K108" s="91"/>
      <c r="L108" s="91"/>
      <c r="M108" s="91"/>
      <c r="N108" s="91"/>
      <c r="O108" s="91"/>
      <c r="P108" s="91"/>
      <c r="Q108" s="91"/>
    </row>
    <row r="109" spans="1:17" ht="14.5">
      <c r="A109" s="54" t="s">
        <v>229</v>
      </c>
      <c r="B109" s="67">
        <f>SUMIFS('Safeguard facility data'!BI$4:BI$312,'Safeguard facility data'!$Q$4:$Q$312,$A109,'Safeguard facility data'!BI$4:BI$312,"&gt;0")</f>
        <v>0</v>
      </c>
      <c r="C109" s="67">
        <f>SUMIFS('Safeguard facility data'!BJ$4:BJ$312,'Safeguard facility data'!$Q$4:$Q$312,$A109,'Safeguard facility data'!BJ$4:BJ$312,"&gt;0")</f>
        <v>0</v>
      </c>
      <c r="D109" s="67">
        <f>SUMIFS('Safeguard facility data'!BK$4:BK$312,'Safeguard facility data'!$Q$4:$Q$312,$A109,'Safeguard facility data'!BK$4:BK$312,"&gt;0")</f>
        <v>0</v>
      </c>
      <c r="E109" s="67">
        <f>SUMIFS('Safeguard facility data'!BL$4:BL$312,'Safeguard facility data'!$Q$4:$Q$312,$A109,'Safeguard facility data'!BL$4:BL$312,"&gt;0")</f>
        <v>0</v>
      </c>
      <c r="F109" s="67">
        <f>SUMIFS('Safeguard facility data'!BM$4:BM$312,'Safeguard facility data'!$Q$4:$Q$312,$A109,'Safeguard facility data'!BM$4:BM$312,"&gt;0")</f>
        <v>0</v>
      </c>
      <c r="G109" s="61">
        <f t="shared" si="10"/>
        <v>0</v>
      </c>
      <c r="H109" s="91">
        <f t="shared" si="11"/>
        <v>0</v>
      </c>
      <c r="I109" s="91"/>
      <c r="J109" s="91"/>
      <c r="K109" s="91"/>
      <c r="L109" s="91"/>
      <c r="M109" s="91"/>
      <c r="N109" s="91"/>
      <c r="O109" s="91"/>
      <c r="P109" s="91"/>
      <c r="Q109" s="91"/>
    </row>
    <row r="110" spans="1:17" ht="14.5">
      <c r="A110" s="54" t="s">
        <v>173</v>
      </c>
      <c r="B110" s="67">
        <f>SUMIFS('Safeguard facility data'!BI$4:BI$312,'Safeguard facility data'!$Q$4:$Q$312,$A110,'Safeguard facility data'!BI$4:BI$312,"&gt;0")</f>
        <v>0</v>
      </c>
      <c r="C110" s="67">
        <f>SUMIFS('Safeguard facility data'!BJ$4:BJ$312,'Safeguard facility data'!$Q$4:$Q$312,$A110,'Safeguard facility data'!BJ$4:BJ$312,"&gt;0")</f>
        <v>0</v>
      </c>
      <c r="D110" s="67">
        <f>SUMIFS('Safeguard facility data'!BK$4:BK$312,'Safeguard facility data'!$Q$4:$Q$312,$A110,'Safeguard facility data'!BK$4:BK$312,"&gt;0")</f>
        <v>0</v>
      </c>
      <c r="E110" s="67">
        <f>SUMIFS('Safeguard facility data'!BL$4:BL$312,'Safeguard facility data'!$Q$4:$Q$312,$A110,'Safeguard facility data'!BL$4:BL$312,"&gt;0")</f>
        <v>0</v>
      </c>
      <c r="F110" s="67">
        <f>SUMIFS('Safeguard facility data'!BM$4:BM$312,'Safeguard facility data'!$Q$4:$Q$312,$A110,'Safeguard facility data'!BM$4:BM$312,"&gt;0")</f>
        <v>0</v>
      </c>
      <c r="G110" s="61">
        <f t="shared" si="10"/>
        <v>0</v>
      </c>
      <c r="H110" s="91">
        <f t="shared" si="11"/>
        <v>0</v>
      </c>
      <c r="I110" s="91"/>
      <c r="J110" s="91"/>
      <c r="K110" s="91"/>
      <c r="L110" s="91"/>
      <c r="M110" s="91"/>
      <c r="N110" s="91"/>
      <c r="O110" s="91"/>
      <c r="P110" s="91"/>
      <c r="Q110" s="91"/>
    </row>
    <row r="111" spans="1:17" ht="14.5">
      <c r="A111" s="54" t="s">
        <v>248</v>
      </c>
      <c r="B111" s="67">
        <f>SUMIFS('Safeguard facility data'!BI$4:BI$312,'Safeguard facility data'!$Q$4:$Q$312,$A111,'Safeguard facility data'!BI$4:BI$312,"&gt;0")</f>
        <v>0</v>
      </c>
      <c r="C111" s="67">
        <f>SUMIFS('Safeguard facility data'!BJ$4:BJ$312,'Safeguard facility data'!$Q$4:$Q$312,$A111,'Safeguard facility data'!BJ$4:BJ$312,"&gt;0")</f>
        <v>0</v>
      </c>
      <c r="D111" s="67">
        <f>SUMIFS('Safeguard facility data'!BK$4:BK$312,'Safeguard facility data'!$Q$4:$Q$312,$A111,'Safeguard facility data'!BK$4:BK$312,"&gt;0")</f>
        <v>0</v>
      </c>
      <c r="E111" s="67">
        <f>SUMIFS('Safeguard facility data'!BL$4:BL$312,'Safeguard facility data'!$Q$4:$Q$312,$A111,'Safeguard facility data'!BL$4:BL$312,"&gt;0")</f>
        <v>0</v>
      </c>
      <c r="F111" s="67">
        <f>SUMIFS('Safeguard facility data'!BM$4:BM$312,'Safeguard facility data'!$Q$4:$Q$312,$A111,'Safeguard facility data'!BM$4:BM$312,"&gt;0")</f>
        <v>0</v>
      </c>
      <c r="G111" s="61">
        <f t="shared" si="10"/>
        <v>0</v>
      </c>
      <c r="H111" s="91">
        <f t="shared" si="11"/>
        <v>0</v>
      </c>
      <c r="I111" s="91"/>
      <c r="J111" s="91"/>
      <c r="K111" s="91"/>
      <c r="L111" s="91"/>
      <c r="M111" s="91"/>
      <c r="N111" s="91"/>
      <c r="O111" s="91"/>
      <c r="P111" s="91"/>
      <c r="Q111" s="91"/>
    </row>
    <row r="112" spans="1:17" ht="14.5">
      <c r="A112" s="54" t="s">
        <v>174</v>
      </c>
      <c r="B112" s="67">
        <f>SUMIFS('Safeguard facility data'!BI$4:BI$312,'Safeguard facility data'!$Q$4:$Q$312,$A112,'Safeguard facility data'!BI$4:BI$312,"&gt;0")</f>
        <v>0</v>
      </c>
      <c r="C112" s="67">
        <f>SUMIFS('Safeguard facility data'!BJ$4:BJ$312,'Safeguard facility data'!$Q$4:$Q$312,$A112,'Safeguard facility data'!BJ$4:BJ$312,"&gt;0")</f>
        <v>0</v>
      </c>
      <c r="D112" s="67">
        <f>SUMIFS('Safeguard facility data'!BK$4:BK$312,'Safeguard facility data'!$Q$4:$Q$312,$A112,'Safeguard facility data'!BK$4:BK$312,"&gt;0")</f>
        <v>0</v>
      </c>
      <c r="E112" s="67">
        <f>SUMIFS('Safeguard facility data'!BL$4:BL$312,'Safeguard facility data'!$Q$4:$Q$312,$A112,'Safeguard facility data'!BL$4:BL$312,"&gt;0")</f>
        <v>0</v>
      </c>
      <c r="F112" s="67">
        <f>SUMIFS('Safeguard facility data'!BM$4:BM$312,'Safeguard facility data'!$Q$4:$Q$312,$A112,'Safeguard facility data'!BM$4:BM$312,"&gt;0")</f>
        <v>0</v>
      </c>
      <c r="G112" s="61">
        <f t="shared" si="10"/>
        <v>0</v>
      </c>
      <c r="H112" s="91">
        <f t="shared" si="11"/>
        <v>0</v>
      </c>
      <c r="I112" s="91"/>
      <c r="J112" s="91"/>
      <c r="K112" s="91"/>
      <c r="L112" s="91"/>
      <c r="M112" s="91"/>
      <c r="N112" s="91"/>
      <c r="O112" s="91"/>
      <c r="P112" s="91"/>
      <c r="Q112" s="91"/>
    </row>
    <row r="113" spans="1:17" ht="14.5">
      <c r="A113" s="54" t="s">
        <v>175</v>
      </c>
      <c r="B113" s="67">
        <f>SUMIFS('Safeguard facility data'!BI$4:BI$312,'Safeguard facility data'!$Q$4:$Q$312,$A113,'Safeguard facility data'!BI$4:BI$312,"&gt;0")</f>
        <v>0</v>
      </c>
      <c r="C113" s="67">
        <f>SUMIFS('Safeguard facility data'!BJ$4:BJ$312,'Safeguard facility data'!$Q$4:$Q$312,$A113,'Safeguard facility data'!BJ$4:BJ$312,"&gt;0")</f>
        <v>0</v>
      </c>
      <c r="D113" s="67">
        <f>SUMIFS('Safeguard facility data'!BK$4:BK$312,'Safeguard facility data'!$Q$4:$Q$312,$A113,'Safeguard facility data'!BK$4:BK$312,"&gt;0")</f>
        <v>0</v>
      </c>
      <c r="E113" s="67">
        <f>SUMIFS('Safeguard facility data'!BL$4:BL$312,'Safeguard facility data'!$Q$4:$Q$312,$A113,'Safeguard facility data'!BL$4:BL$312,"&gt;0")</f>
        <v>0</v>
      </c>
      <c r="F113" s="67">
        <f>SUMIFS('Safeguard facility data'!BM$4:BM$312,'Safeguard facility data'!$Q$4:$Q$312,$A113,'Safeguard facility data'!BM$4:BM$312,"&gt;0")</f>
        <v>0</v>
      </c>
      <c r="G113" s="61">
        <f t="shared" si="10"/>
        <v>0</v>
      </c>
      <c r="H113" s="91">
        <f t="shared" si="11"/>
        <v>0</v>
      </c>
      <c r="I113" s="91"/>
      <c r="J113" s="91"/>
      <c r="K113" s="91"/>
      <c r="L113" s="91"/>
      <c r="M113" s="91"/>
      <c r="N113" s="91"/>
      <c r="O113" s="91"/>
      <c r="P113" s="91"/>
      <c r="Q113" s="91"/>
    </row>
    <row r="114" spans="1:17" ht="14.5">
      <c r="A114" s="54" t="s">
        <v>177</v>
      </c>
      <c r="B114" s="67">
        <f>SUMIFS('Safeguard facility data'!BI$4:BI$312,'Safeguard facility data'!$Q$4:$Q$312,$A114,'Safeguard facility data'!BI$4:BI$312,"&gt;0")</f>
        <v>0</v>
      </c>
      <c r="C114" s="67">
        <f>SUMIFS('Safeguard facility data'!BJ$4:BJ$312,'Safeguard facility data'!$Q$4:$Q$312,$A114,'Safeguard facility data'!BJ$4:BJ$312,"&gt;0")</f>
        <v>0</v>
      </c>
      <c r="D114" s="67">
        <f>SUMIFS('Safeguard facility data'!BK$4:BK$312,'Safeguard facility data'!$Q$4:$Q$312,$A114,'Safeguard facility data'!BK$4:BK$312,"&gt;0")</f>
        <v>0</v>
      </c>
      <c r="E114" s="67">
        <f>SUMIFS('Safeguard facility data'!BL$4:BL$312,'Safeguard facility data'!$Q$4:$Q$312,$A114,'Safeguard facility data'!BL$4:BL$312,"&gt;0")</f>
        <v>0</v>
      </c>
      <c r="F114" s="67">
        <f>SUMIFS('Safeguard facility data'!BM$4:BM$312,'Safeguard facility data'!$Q$4:$Q$312,$A114,'Safeguard facility data'!BM$4:BM$312,"&gt;0")</f>
        <v>0</v>
      </c>
      <c r="G114" s="61">
        <f t="shared" si="10"/>
        <v>0</v>
      </c>
      <c r="H114" s="91">
        <f t="shared" si="11"/>
        <v>0</v>
      </c>
      <c r="I114" s="91"/>
      <c r="J114" s="91"/>
      <c r="K114" s="91"/>
      <c r="L114" s="91"/>
      <c r="M114" s="91"/>
      <c r="N114" s="91"/>
      <c r="O114" s="91"/>
      <c r="P114" s="91"/>
      <c r="Q114" s="91"/>
    </row>
    <row r="115" spans="1:17" ht="14.5">
      <c r="A115" s="54" t="s">
        <v>178</v>
      </c>
      <c r="B115" s="67">
        <f>SUMIFS('Safeguard facility data'!BI$4:BI$312,'Safeguard facility data'!$Q$4:$Q$312,$A115,'Safeguard facility data'!BI$4:BI$312,"&gt;0")</f>
        <v>0</v>
      </c>
      <c r="C115" s="67">
        <f>SUMIFS('Safeguard facility data'!BJ$4:BJ$312,'Safeguard facility data'!$Q$4:$Q$312,$A115,'Safeguard facility data'!BJ$4:BJ$312,"&gt;0")</f>
        <v>0</v>
      </c>
      <c r="D115" s="67">
        <f>SUMIFS('Safeguard facility data'!BK$4:BK$312,'Safeguard facility data'!$Q$4:$Q$312,$A115,'Safeguard facility data'!BK$4:BK$312,"&gt;0")</f>
        <v>0</v>
      </c>
      <c r="E115" s="67">
        <f>SUMIFS('Safeguard facility data'!BL$4:BL$312,'Safeguard facility data'!$Q$4:$Q$312,$A115,'Safeguard facility data'!BL$4:BL$312,"&gt;0")</f>
        <v>0</v>
      </c>
      <c r="F115" s="67">
        <f>SUMIFS('Safeguard facility data'!BM$4:BM$312,'Safeguard facility data'!$Q$4:$Q$312,$A115,'Safeguard facility data'!BM$4:BM$312,"&gt;0")</f>
        <v>0</v>
      </c>
      <c r="G115" s="61">
        <f t="shared" si="10"/>
        <v>0</v>
      </c>
      <c r="H115" s="91">
        <f t="shared" si="11"/>
        <v>0</v>
      </c>
      <c r="I115" s="91"/>
      <c r="J115" s="91"/>
      <c r="K115" s="91"/>
      <c r="L115" s="91"/>
      <c r="M115" s="91"/>
      <c r="N115" s="91"/>
      <c r="O115" s="91"/>
      <c r="P115" s="91"/>
      <c r="Q115" s="91"/>
    </row>
    <row r="116" spans="1:17" ht="14.5">
      <c r="A116" s="54" t="s">
        <v>179</v>
      </c>
      <c r="B116" s="67">
        <f>SUMIFS('Safeguard facility data'!BI$4:BI$312,'Safeguard facility data'!$Q$4:$Q$312,$A116,'Safeguard facility data'!BI$4:BI$312,"&gt;0")</f>
        <v>0</v>
      </c>
      <c r="C116" s="67">
        <f>SUMIFS('Safeguard facility data'!BJ$4:BJ$312,'Safeguard facility data'!$Q$4:$Q$312,$A116,'Safeguard facility data'!BJ$4:BJ$312,"&gt;0")</f>
        <v>0</v>
      </c>
      <c r="D116" s="67">
        <f>SUMIFS('Safeguard facility data'!BK$4:BK$312,'Safeguard facility data'!$Q$4:$Q$312,$A116,'Safeguard facility data'!BK$4:BK$312,"&gt;0")</f>
        <v>0</v>
      </c>
      <c r="E116" s="67">
        <f>SUMIFS('Safeguard facility data'!BL$4:BL$312,'Safeguard facility data'!$Q$4:$Q$312,$A116,'Safeguard facility data'!BL$4:BL$312,"&gt;0")</f>
        <v>0</v>
      </c>
      <c r="F116" s="67">
        <f>SUMIFS('Safeguard facility data'!BM$4:BM$312,'Safeguard facility data'!$Q$4:$Q$312,$A116,'Safeguard facility data'!BM$4:BM$312,"&gt;0")</f>
        <v>0</v>
      </c>
      <c r="G116" s="61">
        <f t="shared" si="10"/>
        <v>0</v>
      </c>
      <c r="H116" s="91">
        <f t="shared" si="11"/>
        <v>0</v>
      </c>
      <c r="I116" s="91"/>
      <c r="J116" s="91"/>
      <c r="K116" s="91"/>
      <c r="L116" s="91"/>
      <c r="M116" s="91"/>
      <c r="N116" s="91"/>
      <c r="O116" s="91"/>
      <c r="P116" s="91"/>
      <c r="Q116" s="91"/>
    </row>
    <row r="117" spans="1:17" ht="14.5">
      <c r="A117" s="54" t="s">
        <v>180</v>
      </c>
      <c r="B117" s="67">
        <f>SUMIFS('Safeguard facility data'!BI$4:BI$312,'Safeguard facility data'!$Q$4:$Q$312,$A117,'Safeguard facility data'!BI$4:BI$312,"&gt;0")</f>
        <v>0</v>
      </c>
      <c r="C117" s="67">
        <f>SUMIFS('Safeguard facility data'!BJ$4:BJ$312,'Safeguard facility data'!$Q$4:$Q$312,$A117,'Safeguard facility data'!BJ$4:BJ$312,"&gt;0")</f>
        <v>0</v>
      </c>
      <c r="D117" s="67">
        <f>SUMIFS('Safeguard facility data'!BK$4:BK$312,'Safeguard facility data'!$Q$4:$Q$312,$A117,'Safeguard facility data'!BK$4:BK$312,"&gt;0")</f>
        <v>0</v>
      </c>
      <c r="E117" s="67">
        <f>SUMIFS('Safeguard facility data'!BL$4:BL$312,'Safeguard facility data'!$Q$4:$Q$312,$A117,'Safeguard facility data'!BL$4:BL$312,"&gt;0")</f>
        <v>0</v>
      </c>
      <c r="F117" s="67">
        <f>SUMIFS('Safeguard facility data'!BM$4:BM$312,'Safeguard facility data'!$Q$4:$Q$312,$A117,'Safeguard facility data'!BM$4:BM$312,"&gt;0")</f>
        <v>0</v>
      </c>
      <c r="G117" s="61">
        <f t="shared" si="10"/>
        <v>0</v>
      </c>
      <c r="H117" s="91">
        <f t="shared" si="11"/>
        <v>0</v>
      </c>
      <c r="I117" s="91"/>
      <c r="J117" s="91"/>
      <c r="K117" s="91"/>
      <c r="L117" s="91"/>
      <c r="M117" s="91"/>
      <c r="N117" s="91"/>
      <c r="O117" s="91"/>
      <c r="P117" s="91"/>
      <c r="Q117" s="91"/>
    </row>
    <row r="118" spans="1:17" ht="14.5">
      <c r="A118" s="54" t="s">
        <v>181</v>
      </c>
      <c r="B118" s="67">
        <f>SUMIFS('Safeguard facility data'!BI$4:BI$312,'Safeguard facility data'!$Q$4:$Q$312,$A118,'Safeguard facility data'!BI$4:BI$312,"&gt;0")</f>
        <v>0</v>
      </c>
      <c r="C118" s="67">
        <f>SUMIFS('Safeguard facility data'!BJ$4:BJ$312,'Safeguard facility data'!$Q$4:$Q$312,$A118,'Safeguard facility data'!BJ$4:BJ$312,"&gt;0")</f>
        <v>0</v>
      </c>
      <c r="D118" s="67">
        <f>SUMIFS('Safeguard facility data'!BK$4:BK$312,'Safeguard facility data'!$Q$4:$Q$312,$A118,'Safeguard facility data'!BK$4:BK$312,"&gt;0")</f>
        <v>0</v>
      </c>
      <c r="E118" s="67">
        <f>SUMIFS('Safeguard facility data'!BL$4:BL$312,'Safeguard facility data'!$Q$4:$Q$312,$A118,'Safeguard facility data'!BL$4:BL$312,"&gt;0")</f>
        <v>0</v>
      </c>
      <c r="F118" s="67">
        <f>SUMIFS('Safeguard facility data'!BM$4:BM$312,'Safeguard facility data'!$Q$4:$Q$312,$A118,'Safeguard facility data'!BM$4:BM$312,"&gt;0")</f>
        <v>0</v>
      </c>
      <c r="G118" s="61">
        <f t="shared" si="10"/>
        <v>0</v>
      </c>
      <c r="H118" s="91">
        <f t="shared" si="11"/>
        <v>0</v>
      </c>
      <c r="I118" s="91"/>
      <c r="J118" s="91"/>
      <c r="K118" s="91"/>
      <c r="L118" s="91"/>
      <c r="M118" s="91"/>
      <c r="N118" s="91"/>
      <c r="O118" s="91"/>
      <c r="P118" s="91"/>
      <c r="Q118" s="91"/>
    </row>
    <row r="119" spans="1:17" ht="14.5">
      <c r="A119" s="54" t="s">
        <v>182</v>
      </c>
      <c r="B119" s="67">
        <f>SUMIFS('Safeguard facility data'!BI$4:BI$312,'Safeguard facility data'!$Q$4:$Q$312,$A119,'Safeguard facility data'!BI$4:BI$312,"&gt;0")</f>
        <v>0</v>
      </c>
      <c r="C119" s="67">
        <f>SUMIFS('Safeguard facility data'!BJ$4:BJ$312,'Safeguard facility data'!$Q$4:$Q$312,$A119,'Safeguard facility data'!BJ$4:BJ$312,"&gt;0")</f>
        <v>0</v>
      </c>
      <c r="D119" s="67">
        <f>SUMIFS('Safeguard facility data'!BK$4:BK$312,'Safeguard facility data'!$Q$4:$Q$312,$A119,'Safeguard facility data'!BK$4:BK$312,"&gt;0")</f>
        <v>0</v>
      </c>
      <c r="E119" s="67">
        <f>SUMIFS('Safeguard facility data'!BL$4:BL$312,'Safeguard facility data'!$Q$4:$Q$312,$A119,'Safeguard facility data'!BL$4:BL$312,"&gt;0")</f>
        <v>0</v>
      </c>
      <c r="F119" s="67">
        <f>SUMIFS('Safeguard facility data'!BM$4:BM$312,'Safeguard facility data'!$Q$4:$Q$312,$A119,'Safeguard facility data'!BM$4:BM$312,"&gt;0")</f>
        <v>0</v>
      </c>
      <c r="G119" s="61">
        <f t="shared" si="10"/>
        <v>0</v>
      </c>
      <c r="H119" s="91">
        <f t="shared" si="11"/>
        <v>0</v>
      </c>
      <c r="I119" s="91"/>
      <c r="J119" s="91"/>
      <c r="K119" s="91"/>
      <c r="L119" s="91"/>
      <c r="M119" s="91"/>
      <c r="N119" s="91"/>
      <c r="O119" s="91"/>
      <c r="P119" s="91"/>
      <c r="Q119" s="91"/>
    </row>
    <row r="120" spans="1:17" ht="14.5">
      <c r="A120" s="54" t="s">
        <v>265</v>
      </c>
      <c r="B120" s="67">
        <f>SUMIFS('Safeguard facility data'!BI$4:BI$312,'Safeguard facility data'!$Q$4:$Q$312,$A120,'Safeguard facility data'!BI$4:BI$312,"&gt;0")</f>
        <v>0</v>
      </c>
      <c r="C120" s="67">
        <f>SUMIFS('Safeguard facility data'!BJ$4:BJ$312,'Safeguard facility data'!$Q$4:$Q$312,$A120,'Safeguard facility data'!BJ$4:BJ$312,"&gt;0")</f>
        <v>0</v>
      </c>
      <c r="D120" s="67">
        <f>SUMIFS('Safeguard facility data'!BK$4:BK$312,'Safeguard facility data'!$Q$4:$Q$312,$A120,'Safeguard facility data'!BK$4:BK$312,"&gt;0")</f>
        <v>0</v>
      </c>
      <c r="E120" s="67">
        <f>SUMIFS('Safeguard facility data'!BL$4:BL$312,'Safeguard facility data'!$Q$4:$Q$312,$A120,'Safeguard facility data'!BL$4:BL$312,"&gt;0")</f>
        <v>0</v>
      </c>
      <c r="F120" s="67">
        <f>SUMIFS('Safeguard facility data'!BM$4:BM$312,'Safeguard facility data'!$Q$4:$Q$312,$A120,'Safeguard facility data'!BM$4:BM$312,"&gt;0")</f>
        <v>0</v>
      </c>
      <c r="G120" s="61">
        <f t="shared" si="10"/>
        <v>0</v>
      </c>
      <c r="H120" s="91">
        <f t="shared" si="11"/>
        <v>0</v>
      </c>
      <c r="I120" s="91"/>
      <c r="J120" s="91"/>
      <c r="K120" s="91"/>
      <c r="L120" s="91"/>
      <c r="M120" s="91"/>
      <c r="N120" s="91"/>
      <c r="O120" s="91"/>
      <c r="P120" s="91"/>
      <c r="Q120" s="91"/>
    </row>
    <row r="121" spans="1:17" ht="14.5">
      <c r="A121" s="54" t="s">
        <v>183</v>
      </c>
      <c r="B121" s="67">
        <f>SUMIFS('Safeguard facility data'!BI$4:BI$312,'Safeguard facility data'!$Q$4:$Q$312,$A121,'Safeguard facility data'!BI$4:BI$312,"&gt;0")</f>
        <v>0</v>
      </c>
      <c r="C121" s="67">
        <f>SUMIFS('Safeguard facility data'!BJ$4:BJ$312,'Safeguard facility data'!$Q$4:$Q$312,$A121,'Safeguard facility data'!BJ$4:BJ$312,"&gt;0")</f>
        <v>0</v>
      </c>
      <c r="D121" s="67">
        <f>SUMIFS('Safeguard facility data'!BK$4:BK$312,'Safeguard facility data'!$Q$4:$Q$312,$A121,'Safeguard facility data'!BK$4:BK$312,"&gt;0")</f>
        <v>0</v>
      </c>
      <c r="E121" s="67">
        <f>SUMIFS('Safeguard facility data'!BL$4:BL$312,'Safeguard facility data'!$Q$4:$Q$312,$A121,'Safeguard facility data'!BL$4:BL$312,"&gt;0")</f>
        <v>0</v>
      </c>
      <c r="F121" s="67">
        <f>SUMIFS('Safeguard facility data'!BM$4:BM$312,'Safeguard facility data'!$Q$4:$Q$312,$A121,'Safeguard facility data'!BM$4:BM$312,"&gt;0")</f>
        <v>0</v>
      </c>
      <c r="G121" s="61">
        <f t="shared" si="10"/>
        <v>0</v>
      </c>
      <c r="H121" s="91">
        <f t="shared" si="11"/>
        <v>0</v>
      </c>
      <c r="I121" s="91"/>
      <c r="J121" s="91"/>
      <c r="K121" s="91"/>
      <c r="L121" s="91"/>
      <c r="M121" s="91"/>
      <c r="N121" s="91"/>
      <c r="O121" s="91"/>
      <c r="P121" s="91"/>
      <c r="Q121" s="91"/>
    </row>
    <row r="122" spans="1:17" ht="14.5">
      <c r="A122" s="54" t="s">
        <v>185</v>
      </c>
      <c r="B122" s="67">
        <f>SUMIFS('Safeguard facility data'!BI$4:BI$312,'Safeguard facility data'!$Q$4:$Q$312,$A122,'Safeguard facility data'!BI$4:BI$312,"&gt;0")</f>
        <v>0</v>
      </c>
      <c r="C122" s="67">
        <f>SUMIFS('Safeguard facility data'!BJ$4:BJ$312,'Safeguard facility data'!$Q$4:$Q$312,$A122,'Safeguard facility data'!BJ$4:BJ$312,"&gt;0")</f>
        <v>0</v>
      </c>
      <c r="D122" s="67">
        <f>SUMIFS('Safeguard facility data'!BK$4:BK$312,'Safeguard facility data'!$Q$4:$Q$312,$A122,'Safeguard facility data'!BK$4:BK$312,"&gt;0")</f>
        <v>0</v>
      </c>
      <c r="E122" s="67">
        <f>SUMIFS('Safeguard facility data'!BL$4:BL$312,'Safeguard facility data'!$Q$4:$Q$312,$A122,'Safeguard facility data'!BL$4:BL$312,"&gt;0")</f>
        <v>0</v>
      </c>
      <c r="F122" s="67">
        <f>SUMIFS('Safeguard facility data'!BM$4:BM$312,'Safeguard facility data'!$Q$4:$Q$312,$A122,'Safeguard facility data'!BM$4:BM$312,"&gt;0")</f>
        <v>0</v>
      </c>
      <c r="G122" s="61">
        <f t="shared" si="10"/>
        <v>0</v>
      </c>
      <c r="H122" s="91">
        <f t="shared" si="11"/>
        <v>0</v>
      </c>
      <c r="I122" s="91"/>
      <c r="J122" s="91"/>
      <c r="K122" s="91"/>
      <c r="L122" s="91"/>
      <c r="M122" s="91"/>
      <c r="N122" s="91"/>
      <c r="O122" s="91"/>
      <c r="P122" s="91"/>
      <c r="Q122" s="91"/>
    </row>
    <row r="123" spans="1:17" ht="14.5">
      <c r="A123" s="54" t="s">
        <v>186</v>
      </c>
      <c r="B123" s="67">
        <f>SUMIFS('Safeguard facility data'!BI$4:BI$312,'Safeguard facility data'!$Q$4:$Q$312,$A123,'Safeguard facility data'!BI$4:BI$312,"&gt;0")</f>
        <v>0</v>
      </c>
      <c r="C123" s="67">
        <f>SUMIFS('Safeguard facility data'!BJ$4:BJ$312,'Safeguard facility data'!$Q$4:$Q$312,$A123,'Safeguard facility data'!BJ$4:BJ$312,"&gt;0")</f>
        <v>0</v>
      </c>
      <c r="D123" s="67">
        <f>SUMIFS('Safeguard facility data'!BK$4:BK$312,'Safeguard facility data'!$Q$4:$Q$312,$A123,'Safeguard facility data'!BK$4:BK$312,"&gt;0")</f>
        <v>0</v>
      </c>
      <c r="E123" s="67">
        <f>SUMIFS('Safeguard facility data'!BL$4:BL$312,'Safeguard facility data'!$Q$4:$Q$312,$A123,'Safeguard facility data'!BL$4:BL$312,"&gt;0")</f>
        <v>0</v>
      </c>
      <c r="F123" s="67">
        <f>SUMIFS('Safeguard facility data'!BM$4:BM$312,'Safeguard facility data'!$Q$4:$Q$312,$A123,'Safeguard facility data'!BM$4:BM$312,"&gt;0")</f>
        <v>0</v>
      </c>
      <c r="G123" s="61">
        <f t="shared" si="10"/>
        <v>0</v>
      </c>
      <c r="H123" s="91">
        <f t="shared" si="11"/>
        <v>0</v>
      </c>
      <c r="I123" s="91"/>
      <c r="J123" s="91"/>
      <c r="K123" s="91"/>
      <c r="L123" s="91"/>
      <c r="M123" s="91"/>
      <c r="N123" s="91"/>
      <c r="O123" s="91"/>
      <c r="P123" s="91"/>
      <c r="Q123" s="91"/>
    </row>
    <row r="124" spans="1:17" ht="14.5">
      <c r="A124" s="54" t="s">
        <v>270</v>
      </c>
      <c r="B124" s="67">
        <f>SUMIFS('Safeguard facility data'!BI$4:BI$312,'Safeguard facility data'!$Q$4:$Q$312,$A124,'Safeguard facility data'!BI$4:BI$312,"&gt;0")</f>
        <v>0</v>
      </c>
      <c r="C124" s="67">
        <f>SUMIFS('Safeguard facility data'!BJ$4:BJ$312,'Safeguard facility data'!$Q$4:$Q$312,$A124,'Safeguard facility data'!BJ$4:BJ$312,"&gt;0")</f>
        <v>0</v>
      </c>
      <c r="D124" s="67">
        <f>SUMIFS('Safeguard facility data'!BK$4:BK$312,'Safeguard facility data'!$Q$4:$Q$312,$A124,'Safeguard facility data'!BK$4:BK$312,"&gt;0")</f>
        <v>0</v>
      </c>
      <c r="E124" s="67">
        <f>SUMIFS('Safeguard facility data'!BL$4:BL$312,'Safeguard facility data'!$Q$4:$Q$312,$A124,'Safeguard facility data'!BL$4:BL$312,"&gt;0")</f>
        <v>0</v>
      </c>
      <c r="F124" s="67">
        <f>SUMIFS('Safeguard facility data'!BM$4:BM$312,'Safeguard facility data'!$Q$4:$Q$312,$A124,'Safeguard facility data'!BM$4:BM$312,"&gt;0")</f>
        <v>0</v>
      </c>
      <c r="G124" s="61">
        <f t="shared" si="10"/>
        <v>0</v>
      </c>
      <c r="H124" s="91">
        <f t="shared" si="11"/>
        <v>0</v>
      </c>
      <c r="I124" s="91"/>
      <c r="J124" s="91"/>
      <c r="K124" s="91"/>
      <c r="L124" s="91"/>
      <c r="M124" s="91"/>
      <c r="N124" s="91"/>
      <c r="O124" s="91"/>
      <c r="P124" s="91"/>
      <c r="Q124" s="91"/>
    </row>
    <row r="125" spans="1:17" ht="14.5">
      <c r="A125" s="54" t="s">
        <v>187</v>
      </c>
      <c r="B125" s="67">
        <f>SUMIFS('Safeguard facility data'!BI$4:BI$312,'Safeguard facility data'!$Q$4:$Q$312,$A125,'Safeguard facility data'!BI$4:BI$312,"&gt;0")</f>
        <v>0</v>
      </c>
      <c r="C125" s="67">
        <f>SUMIFS('Safeguard facility data'!BJ$4:BJ$312,'Safeguard facility data'!$Q$4:$Q$312,$A125,'Safeguard facility data'!BJ$4:BJ$312,"&gt;0")</f>
        <v>0</v>
      </c>
      <c r="D125" s="67">
        <f>SUMIFS('Safeguard facility data'!BK$4:BK$312,'Safeguard facility data'!$Q$4:$Q$312,$A125,'Safeguard facility data'!BK$4:BK$312,"&gt;0")</f>
        <v>0</v>
      </c>
      <c r="E125" s="67">
        <f>SUMIFS('Safeguard facility data'!BL$4:BL$312,'Safeguard facility data'!$Q$4:$Q$312,$A125,'Safeguard facility data'!BL$4:BL$312,"&gt;0")</f>
        <v>0</v>
      </c>
      <c r="F125" s="67">
        <f>SUMIFS('Safeguard facility data'!BM$4:BM$312,'Safeguard facility data'!$Q$4:$Q$312,$A125,'Safeguard facility data'!BM$4:BM$312,"&gt;0")</f>
        <v>0</v>
      </c>
      <c r="G125" s="61">
        <f t="shared" si="10"/>
        <v>0</v>
      </c>
      <c r="H125" s="91">
        <f t="shared" si="11"/>
        <v>0</v>
      </c>
      <c r="I125" s="91"/>
      <c r="J125" s="91"/>
      <c r="K125" s="91"/>
      <c r="L125" s="91"/>
      <c r="M125" s="91"/>
      <c r="N125" s="91"/>
      <c r="O125" s="91"/>
      <c r="P125" s="91"/>
      <c r="Q125" s="91"/>
    </row>
    <row r="126" spans="1:17" ht="14.5">
      <c r="A126" s="54" t="s">
        <v>271</v>
      </c>
      <c r="B126" s="67">
        <f>SUMIFS('Safeguard facility data'!BI$4:BI$312,'Safeguard facility data'!$Q$4:$Q$312,$A126,'Safeguard facility data'!BI$4:BI$312,"&gt;0")</f>
        <v>0</v>
      </c>
      <c r="C126" s="67">
        <f>SUMIFS('Safeguard facility data'!BJ$4:BJ$312,'Safeguard facility data'!$Q$4:$Q$312,$A126,'Safeguard facility data'!BJ$4:BJ$312,"&gt;0")</f>
        <v>0</v>
      </c>
      <c r="D126" s="67">
        <f>SUMIFS('Safeguard facility data'!BK$4:BK$312,'Safeguard facility data'!$Q$4:$Q$312,$A126,'Safeguard facility data'!BK$4:BK$312,"&gt;0")</f>
        <v>0</v>
      </c>
      <c r="E126" s="67">
        <f>SUMIFS('Safeguard facility data'!BL$4:BL$312,'Safeguard facility data'!$Q$4:$Q$312,$A126,'Safeguard facility data'!BL$4:BL$312,"&gt;0")</f>
        <v>0</v>
      </c>
      <c r="F126" s="67">
        <f>SUMIFS('Safeguard facility data'!BM$4:BM$312,'Safeguard facility data'!$Q$4:$Q$312,$A126,'Safeguard facility data'!BM$4:BM$312,"&gt;0")</f>
        <v>0</v>
      </c>
      <c r="G126" s="61">
        <f t="shared" si="10"/>
        <v>0</v>
      </c>
      <c r="H126" s="91">
        <f t="shared" si="11"/>
        <v>0</v>
      </c>
      <c r="I126" s="91"/>
      <c r="J126" s="91"/>
      <c r="K126" s="91"/>
      <c r="L126" s="91"/>
      <c r="M126" s="91"/>
      <c r="N126" s="91"/>
      <c r="O126" s="91"/>
      <c r="P126" s="91"/>
      <c r="Q126" s="91"/>
    </row>
    <row r="127" spans="1:17" ht="14.5">
      <c r="A127" s="54" t="s">
        <v>189</v>
      </c>
      <c r="B127" s="67">
        <f>SUMIFS('Safeguard facility data'!BI$4:BI$312,'Safeguard facility data'!$Q$4:$Q$312,$A127,'Safeguard facility data'!BI$4:BI$312,"&gt;0")</f>
        <v>0</v>
      </c>
      <c r="C127" s="67">
        <f>SUMIFS('Safeguard facility data'!BJ$4:BJ$312,'Safeguard facility data'!$Q$4:$Q$312,$A127,'Safeguard facility data'!BJ$4:BJ$312,"&gt;0")</f>
        <v>0</v>
      </c>
      <c r="D127" s="67">
        <f>SUMIFS('Safeguard facility data'!BK$4:BK$312,'Safeguard facility data'!$Q$4:$Q$312,$A127,'Safeguard facility data'!BK$4:BK$312,"&gt;0")</f>
        <v>0</v>
      </c>
      <c r="E127" s="67">
        <f>SUMIFS('Safeguard facility data'!BL$4:BL$312,'Safeguard facility data'!$Q$4:$Q$312,$A127,'Safeguard facility data'!BL$4:BL$312,"&gt;0")</f>
        <v>0</v>
      </c>
      <c r="F127" s="67">
        <f>SUMIFS('Safeguard facility data'!BM$4:BM$312,'Safeguard facility data'!$Q$4:$Q$312,$A127,'Safeguard facility data'!BM$4:BM$312,"&gt;0")</f>
        <v>0</v>
      </c>
      <c r="G127" s="61">
        <f t="shared" si="10"/>
        <v>0</v>
      </c>
      <c r="H127" s="91">
        <f t="shared" si="11"/>
        <v>0</v>
      </c>
      <c r="I127" s="91"/>
      <c r="J127" s="91"/>
      <c r="K127" s="91"/>
      <c r="L127" s="91"/>
      <c r="M127" s="91"/>
      <c r="N127" s="91"/>
      <c r="O127" s="91"/>
      <c r="P127" s="91"/>
      <c r="Q127" s="91"/>
    </row>
    <row r="128" spans="1:17" ht="14.5">
      <c r="A128" s="54" t="s">
        <v>190</v>
      </c>
      <c r="B128" s="67">
        <f>SUMIFS('Safeguard facility data'!BI$4:BI$312,'Safeguard facility data'!$Q$4:$Q$312,$A128,'Safeguard facility data'!BI$4:BI$312,"&gt;0")</f>
        <v>0</v>
      </c>
      <c r="C128" s="67">
        <f>SUMIFS('Safeguard facility data'!BJ$4:BJ$312,'Safeguard facility data'!$Q$4:$Q$312,$A128,'Safeguard facility data'!BJ$4:BJ$312,"&gt;0")</f>
        <v>0</v>
      </c>
      <c r="D128" s="67">
        <f>SUMIFS('Safeguard facility data'!BK$4:BK$312,'Safeguard facility data'!$Q$4:$Q$312,$A128,'Safeguard facility data'!BK$4:BK$312,"&gt;0")</f>
        <v>0</v>
      </c>
      <c r="E128" s="67">
        <f>SUMIFS('Safeguard facility data'!BL$4:BL$312,'Safeguard facility data'!$Q$4:$Q$312,$A128,'Safeguard facility data'!BL$4:BL$312,"&gt;0")</f>
        <v>0</v>
      </c>
      <c r="F128" s="67">
        <f>SUMIFS('Safeguard facility data'!BM$4:BM$312,'Safeguard facility data'!$Q$4:$Q$312,$A128,'Safeguard facility data'!BM$4:BM$312,"&gt;0")</f>
        <v>0</v>
      </c>
      <c r="G128" s="61">
        <f t="shared" si="10"/>
        <v>0</v>
      </c>
      <c r="H128" s="91">
        <f t="shared" si="11"/>
        <v>0</v>
      </c>
      <c r="I128" s="91"/>
      <c r="J128" s="91"/>
      <c r="K128" s="91"/>
      <c r="L128" s="91"/>
      <c r="M128" s="91"/>
      <c r="N128" s="91"/>
      <c r="O128" s="91"/>
      <c r="P128" s="91"/>
      <c r="Q128" s="91"/>
    </row>
    <row r="129" spans="1:17" ht="14.5">
      <c r="A129" s="54" t="s">
        <v>191</v>
      </c>
      <c r="B129" s="67">
        <f>SUMIFS('Safeguard facility data'!BI$4:BI$312,'Safeguard facility data'!$Q$4:$Q$312,$A129,'Safeguard facility data'!BI$4:BI$312,"&gt;0")</f>
        <v>0</v>
      </c>
      <c r="C129" s="67">
        <f>SUMIFS('Safeguard facility data'!BJ$4:BJ$312,'Safeguard facility data'!$Q$4:$Q$312,$A129,'Safeguard facility data'!BJ$4:BJ$312,"&gt;0")</f>
        <v>0</v>
      </c>
      <c r="D129" s="67">
        <f>SUMIFS('Safeguard facility data'!BK$4:BK$312,'Safeguard facility data'!$Q$4:$Q$312,$A129,'Safeguard facility data'!BK$4:BK$312,"&gt;0")</f>
        <v>0</v>
      </c>
      <c r="E129" s="67">
        <f>SUMIFS('Safeguard facility data'!BL$4:BL$312,'Safeguard facility data'!$Q$4:$Q$312,$A129,'Safeguard facility data'!BL$4:BL$312,"&gt;0")</f>
        <v>0</v>
      </c>
      <c r="F129" s="67">
        <f>SUMIFS('Safeguard facility data'!BM$4:BM$312,'Safeguard facility data'!$Q$4:$Q$312,$A129,'Safeguard facility data'!BM$4:BM$312,"&gt;0")</f>
        <v>0</v>
      </c>
      <c r="G129" s="61">
        <f t="shared" si="10"/>
        <v>0</v>
      </c>
      <c r="H129" s="91">
        <f t="shared" si="11"/>
        <v>0</v>
      </c>
      <c r="I129" s="91"/>
      <c r="J129" s="91"/>
      <c r="K129" s="91"/>
      <c r="L129" s="91"/>
      <c r="M129" s="91"/>
      <c r="N129" s="91"/>
      <c r="O129" s="91"/>
      <c r="P129" s="91"/>
      <c r="Q129" s="91"/>
    </row>
    <row r="130" spans="1:17" ht="14.5">
      <c r="A130" s="54" t="s">
        <v>192</v>
      </c>
      <c r="B130" s="67">
        <f>SUMIFS('Safeguard facility data'!BI$4:BI$312,'Safeguard facility data'!$Q$4:$Q$312,$A130,'Safeguard facility data'!BI$4:BI$312,"&gt;0")</f>
        <v>0</v>
      </c>
      <c r="C130" s="67">
        <f>SUMIFS('Safeguard facility data'!BJ$4:BJ$312,'Safeguard facility data'!$Q$4:$Q$312,$A130,'Safeguard facility data'!BJ$4:BJ$312,"&gt;0")</f>
        <v>0</v>
      </c>
      <c r="D130" s="67">
        <f>SUMIFS('Safeguard facility data'!BK$4:BK$312,'Safeguard facility data'!$Q$4:$Q$312,$A130,'Safeguard facility data'!BK$4:BK$312,"&gt;0")</f>
        <v>0</v>
      </c>
      <c r="E130" s="67">
        <f>SUMIFS('Safeguard facility data'!BL$4:BL$312,'Safeguard facility data'!$Q$4:$Q$312,$A130,'Safeguard facility data'!BL$4:BL$312,"&gt;0")</f>
        <v>0</v>
      </c>
      <c r="F130" s="67">
        <f>SUMIFS('Safeguard facility data'!BM$4:BM$312,'Safeguard facility data'!$Q$4:$Q$312,$A130,'Safeguard facility data'!BM$4:BM$312,"&gt;0")</f>
        <v>0</v>
      </c>
      <c r="G130" s="61">
        <f t="shared" si="10"/>
        <v>0</v>
      </c>
      <c r="H130" s="91">
        <f t="shared" si="11"/>
        <v>0</v>
      </c>
      <c r="I130" s="91"/>
      <c r="J130" s="91"/>
      <c r="K130" s="91"/>
      <c r="L130" s="91"/>
      <c r="M130" s="91"/>
      <c r="N130" s="91"/>
      <c r="O130" s="91"/>
      <c r="P130" s="91"/>
      <c r="Q130" s="91"/>
    </row>
    <row r="131" spans="1:17" ht="14.5">
      <c r="A131" s="54" t="s">
        <v>193</v>
      </c>
      <c r="B131" s="67">
        <f>SUMIFS('Safeguard facility data'!BI$4:BI$312,'Safeguard facility data'!$Q$4:$Q$312,$A131,'Safeguard facility data'!BI$4:BI$312,"&gt;0")</f>
        <v>0</v>
      </c>
      <c r="C131" s="67">
        <f>SUMIFS('Safeguard facility data'!BJ$4:BJ$312,'Safeguard facility data'!$Q$4:$Q$312,$A131,'Safeguard facility data'!BJ$4:BJ$312,"&gt;0")</f>
        <v>0</v>
      </c>
      <c r="D131" s="67">
        <f>SUMIFS('Safeguard facility data'!BK$4:BK$312,'Safeguard facility data'!$Q$4:$Q$312,$A131,'Safeguard facility data'!BK$4:BK$312,"&gt;0")</f>
        <v>0</v>
      </c>
      <c r="E131" s="67">
        <f>SUMIFS('Safeguard facility data'!BL$4:BL$312,'Safeguard facility data'!$Q$4:$Q$312,$A131,'Safeguard facility data'!BL$4:BL$312,"&gt;0")</f>
        <v>0</v>
      </c>
      <c r="F131" s="67">
        <f>SUMIFS('Safeguard facility data'!BM$4:BM$312,'Safeguard facility data'!$Q$4:$Q$312,$A131,'Safeguard facility data'!BM$4:BM$312,"&gt;0")</f>
        <v>0</v>
      </c>
      <c r="G131" s="61">
        <f t="shared" si="10"/>
        <v>0</v>
      </c>
      <c r="H131" s="91">
        <f t="shared" si="11"/>
        <v>0</v>
      </c>
      <c r="I131" s="91"/>
      <c r="J131" s="91"/>
      <c r="K131" s="91"/>
      <c r="L131" s="91"/>
      <c r="M131" s="91"/>
      <c r="N131" s="91"/>
      <c r="O131" s="91"/>
      <c r="P131" s="91"/>
      <c r="Q131" s="91"/>
    </row>
    <row r="132" spans="1:17" ht="14.5">
      <c r="A132" s="54" t="s">
        <v>274</v>
      </c>
      <c r="B132" s="67">
        <f>SUMIFS('Safeguard facility data'!BI$4:BI$312,'Safeguard facility data'!$Q$4:$Q$312,$A132,'Safeguard facility data'!BI$4:BI$312,"&gt;0")</f>
        <v>0</v>
      </c>
      <c r="C132" s="67">
        <f>SUMIFS('Safeguard facility data'!BJ$4:BJ$312,'Safeguard facility data'!$Q$4:$Q$312,$A132,'Safeguard facility data'!BJ$4:BJ$312,"&gt;0")</f>
        <v>0</v>
      </c>
      <c r="D132" s="67">
        <f>SUMIFS('Safeguard facility data'!BK$4:BK$312,'Safeguard facility data'!$Q$4:$Q$312,$A132,'Safeguard facility data'!BK$4:BK$312,"&gt;0")</f>
        <v>0</v>
      </c>
      <c r="E132" s="67">
        <f>SUMIFS('Safeguard facility data'!BL$4:BL$312,'Safeguard facility data'!$Q$4:$Q$312,$A132,'Safeguard facility data'!BL$4:BL$312,"&gt;0")</f>
        <v>0</v>
      </c>
      <c r="F132" s="67">
        <f>SUMIFS('Safeguard facility data'!BM$4:BM$312,'Safeguard facility data'!$Q$4:$Q$312,$A132,'Safeguard facility data'!BM$4:BM$312,"&gt;0")</f>
        <v>0</v>
      </c>
      <c r="G132" s="61">
        <f t="shared" si="10"/>
        <v>0</v>
      </c>
      <c r="H132" s="91">
        <f t="shared" si="11"/>
        <v>0</v>
      </c>
      <c r="I132" s="91"/>
      <c r="J132" s="91"/>
      <c r="K132" s="91"/>
      <c r="L132" s="91"/>
      <c r="M132" s="91"/>
      <c r="N132" s="91"/>
      <c r="O132" s="91"/>
      <c r="P132" s="91"/>
      <c r="Q132" s="91"/>
    </row>
    <row r="133" spans="1:17" ht="14.5">
      <c r="A133" s="54" t="s">
        <v>275</v>
      </c>
      <c r="B133" s="67">
        <f>SUMIFS('Safeguard facility data'!BI$4:BI$312,'Safeguard facility data'!$Q$4:$Q$312,$A133,'Safeguard facility data'!BI$4:BI$312,"&gt;0")</f>
        <v>0</v>
      </c>
      <c r="C133" s="67">
        <f>SUMIFS('Safeguard facility data'!BJ$4:BJ$312,'Safeguard facility data'!$Q$4:$Q$312,$A133,'Safeguard facility data'!BJ$4:BJ$312,"&gt;0")</f>
        <v>0</v>
      </c>
      <c r="D133" s="67">
        <f>SUMIFS('Safeguard facility data'!BK$4:BK$312,'Safeguard facility data'!$Q$4:$Q$312,$A133,'Safeguard facility data'!BK$4:BK$312,"&gt;0")</f>
        <v>0</v>
      </c>
      <c r="E133" s="67">
        <f>SUMIFS('Safeguard facility data'!BL$4:BL$312,'Safeguard facility data'!$Q$4:$Q$312,$A133,'Safeguard facility data'!BL$4:BL$312,"&gt;0")</f>
        <v>0</v>
      </c>
      <c r="F133" s="67">
        <f>SUMIFS('Safeguard facility data'!BM$4:BM$312,'Safeguard facility data'!$Q$4:$Q$312,$A133,'Safeguard facility data'!BM$4:BM$312,"&gt;0")</f>
        <v>0</v>
      </c>
      <c r="G133" s="61">
        <f t="shared" si="10"/>
        <v>0</v>
      </c>
      <c r="H133" s="91">
        <f t="shared" si="11"/>
        <v>0</v>
      </c>
      <c r="I133" s="91"/>
      <c r="J133" s="91"/>
      <c r="K133" s="91"/>
      <c r="L133" s="91"/>
      <c r="M133" s="91"/>
      <c r="N133" s="91"/>
      <c r="O133" s="91"/>
      <c r="P133" s="91"/>
      <c r="Q133" s="91"/>
    </row>
    <row r="134" spans="1:17" ht="14.5">
      <c r="A134" s="54" t="s">
        <v>249</v>
      </c>
      <c r="B134" s="67">
        <f>SUMIFS('Safeguard facility data'!BI$4:BI$312,'Safeguard facility data'!$Q$4:$Q$312,$A134,'Safeguard facility data'!BI$4:BI$312,"&gt;0")</f>
        <v>0</v>
      </c>
      <c r="C134" s="67">
        <f>SUMIFS('Safeguard facility data'!BJ$4:BJ$312,'Safeguard facility data'!$Q$4:$Q$312,$A134,'Safeguard facility data'!BJ$4:BJ$312,"&gt;0")</f>
        <v>0</v>
      </c>
      <c r="D134" s="67">
        <f>SUMIFS('Safeguard facility data'!BK$4:BK$312,'Safeguard facility data'!$Q$4:$Q$312,$A134,'Safeguard facility data'!BK$4:BK$312,"&gt;0")</f>
        <v>0</v>
      </c>
      <c r="E134" s="67">
        <f>SUMIFS('Safeguard facility data'!BL$4:BL$312,'Safeguard facility data'!$Q$4:$Q$312,$A134,'Safeguard facility data'!BL$4:BL$312,"&gt;0")</f>
        <v>0</v>
      </c>
      <c r="F134" s="67">
        <f>SUMIFS('Safeguard facility data'!BM$4:BM$312,'Safeguard facility data'!$Q$4:$Q$312,$A134,'Safeguard facility data'!BM$4:BM$312,"&gt;0")</f>
        <v>0</v>
      </c>
      <c r="G134" s="61">
        <f t="shared" si="10"/>
        <v>0</v>
      </c>
      <c r="H134" s="91">
        <f t="shared" si="11"/>
        <v>0</v>
      </c>
      <c r="I134" s="91"/>
      <c r="J134" s="91"/>
      <c r="K134" s="91"/>
      <c r="L134" s="91"/>
      <c r="M134" s="91"/>
      <c r="N134" s="91"/>
      <c r="O134" s="91"/>
      <c r="P134" s="91"/>
      <c r="Q134" s="91"/>
    </row>
    <row r="135" spans="1:17" ht="14.5">
      <c r="A135" s="54" t="s">
        <v>284</v>
      </c>
      <c r="B135" s="67">
        <f>SUMIFS('Safeguard facility data'!BI$4:BI$312,'Safeguard facility data'!$Q$4:$Q$312,$A135,'Safeguard facility data'!BI$4:BI$312,"&gt;0")</f>
        <v>0</v>
      </c>
      <c r="C135" s="67">
        <f>SUMIFS('Safeguard facility data'!BJ$4:BJ$312,'Safeguard facility data'!$Q$4:$Q$312,$A135,'Safeguard facility data'!BJ$4:BJ$312,"&gt;0")</f>
        <v>0</v>
      </c>
      <c r="D135" s="67">
        <f>SUMIFS('Safeguard facility data'!BK$4:BK$312,'Safeguard facility data'!$Q$4:$Q$312,$A135,'Safeguard facility data'!BK$4:BK$312,"&gt;0")</f>
        <v>0</v>
      </c>
      <c r="E135" s="67">
        <f>SUMIFS('Safeguard facility data'!BL$4:BL$312,'Safeguard facility data'!$Q$4:$Q$312,$A135,'Safeguard facility data'!BL$4:BL$312,"&gt;0")</f>
        <v>0</v>
      </c>
      <c r="F135" s="67">
        <f>SUMIFS('Safeguard facility data'!BM$4:BM$312,'Safeguard facility data'!$Q$4:$Q$312,$A135,'Safeguard facility data'!BM$4:BM$312,"&gt;0")</f>
        <v>0</v>
      </c>
      <c r="G135" s="61">
        <f t="shared" si="10"/>
        <v>0</v>
      </c>
      <c r="H135" s="91">
        <f t="shared" si="11"/>
        <v>0</v>
      </c>
      <c r="I135" s="91"/>
      <c r="J135" s="91"/>
      <c r="K135" s="91"/>
      <c r="L135" s="91"/>
      <c r="M135" s="91"/>
      <c r="N135" s="91"/>
      <c r="O135" s="91"/>
      <c r="P135" s="91"/>
      <c r="Q135" s="91"/>
    </row>
    <row r="136" spans="1:17" ht="14.5">
      <c r="A136" s="54" t="s">
        <v>194</v>
      </c>
      <c r="B136" s="67">
        <f>SUMIFS('Safeguard facility data'!BI$4:BI$312,'Safeguard facility data'!$Q$4:$Q$312,$A136,'Safeguard facility data'!BI$4:BI$312,"&gt;0")</f>
        <v>0</v>
      </c>
      <c r="C136" s="67">
        <f>SUMIFS('Safeguard facility data'!BJ$4:BJ$312,'Safeguard facility data'!$Q$4:$Q$312,$A136,'Safeguard facility data'!BJ$4:BJ$312,"&gt;0")</f>
        <v>0</v>
      </c>
      <c r="D136" s="67">
        <f>SUMIFS('Safeguard facility data'!BK$4:BK$312,'Safeguard facility data'!$Q$4:$Q$312,$A136,'Safeguard facility data'!BK$4:BK$312,"&gt;0")</f>
        <v>0</v>
      </c>
      <c r="E136" s="67">
        <f>SUMIFS('Safeguard facility data'!BL$4:BL$312,'Safeguard facility data'!$Q$4:$Q$312,$A136,'Safeguard facility data'!BL$4:BL$312,"&gt;0")</f>
        <v>0</v>
      </c>
      <c r="F136" s="67">
        <f>SUMIFS('Safeguard facility data'!BM$4:BM$312,'Safeguard facility data'!$Q$4:$Q$312,$A136,'Safeguard facility data'!BM$4:BM$312,"&gt;0")</f>
        <v>0</v>
      </c>
      <c r="G136" s="61">
        <f t="shared" si="10"/>
        <v>0</v>
      </c>
      <c r="H136" s="91">
        <f t="shared" si="11"/>
        <v>0</v>
      </c>
      <c r="I136" s="91"/>
      <c r="J136" s="91"/>
      <c r="K136" s="91"/>
      <c r="L136" s="91"/>
      <c r="M136" s="91"/>
      <c r="N136" s="91"/>
      <c r="O136" s="91"/>
      <c r="P136" s="91"/>
      <c r="Q136" s="91"/>
    </row>
    <row r="137" spans="1:17" ht="14.5">
      <c r="A137" s="54" t="s">
        <v>250</v>
      </c>
      <c r="B137" s="67">
        <f>SUMIFS('Safeguard facility data'!BI$4:BI$312,'Safeguard facility data'!$Q$4:$Q$312,$A137,'Safeguard facility data'!BI$4:BI$312,"&gt;0")</f>
        <v>0</v>
      </c>
      <c r="C137" s="67">
        <f>SUMIFS('Safeguard facility data'!BJ$4:BJ$312,'Safeguard facility data'!$Q$4:$Q$312,$A137,'Safeguard facility data'!BJ$4:BJ$312,"&gt;0")</f>
        <v>0</v>
      </c>
      <c r="D137" s="67">
        <f>SUMIFS('Safeguard facility data'!BK$4:BK$312,'Safeguard facility data'!$Q$4:$Q$312,$A137,'Safeguard facility data'!BK$4:BK$312,"&gt;0")</f>
        <v>0</v>
      </c>
      <c r="E137" s="67">
        <f>SUMIFS('Safeguard facility data'!BL$4:BL$312,'Safeguard facility data'!$Q$4:$Q$312,$A137,'Safeguard facility data'!BL$4:BL$312,"&gt;0")</f>
        <v>0</v>
      </c>
      <c r="F137" s="67">
        <f>SUMIFS('Safeguard facility data'!BM$4:BM$312,'Safeguard facility data'!$Q$4:$Q$312,$A137,'Safeguard facility data'!BM$4:BM$312,"&gt;0")</f>
        <v>0</v>
      </c>
      <c r="G137" s="61">
        <f t="shared" ref="G137:G168" si="12">SUM(B137:F137)</f>
        <v>0</v>
      </c>
      <c r="H137" s="91">
        <f t="shared" ref="H137:H168" si="13">G137/$G$3</f>
        <v>0</v>
      </c>
      <c r="I137" s="91"/>
      <c r="J137" s="91"/>
      <c r="K137" s="91"/>
      <c r="L137" s="91"/>
      <c r="M137" s="91"/>
      <c r="N137" s="91"/>
      <c r="O137" s="91"/>
      <c r="P137" s="91"/>
      <c r="Q137" s="91"/>
    </row>
    <row r="138" spans="1:17" ht="14.5">
      <c r="A138" s="54" t="s">
        <v>195</v>
      </c>
      <c r="B138" s="67">
        <f>SUMIFS('Safeguard facility data'!BI$4:BI$312,'Safeguard facility data'!$Q$4:$Q$312,$A138,'Safeguard facility data'!BI$4:BI$312,"&gt;0")</f>
        <v>0</v>
      </c>
      <c r="C138" s="67">
        <f>SUMIFS('Safeguard facility data'!BJ$4:BJ$312,'Safeguard facility data'!$Q$4:$Q$312,$A138,'Safeguard facility data'!BJ$4:BJ$312,"&gt;0")</f>
        <v>0</v>
      </c>
      <c r="D138" s="67">
        <f>SUMIFS('Safeguard facility data'!BK$4:BK$312,'Safeguard facility data'!$Q$4:$Q$312,$A138,'Safeguard facility data'!BK$4:BK$312,"&gt;0")</f>
        <v>0</v>
      </c>
      <c r="E138" s="67">
        <f>SUMIFS('Safeguard facility data'!BL$4:BL$312,'Safeguard facility data'!$Q$4:$Q$312,$A138,'Safeguard facility data'!BL$4:BL$312,"&gt;0")</f>
        <v>0</v>
      </c>
      <c r="F138" s="67">
        <f>SUMIFS('Safeguard facility data'!BM$4:BM$312,'Safeguard facility data'!$Q$4:$Q$312,$A138,'Safeguard facility data'!BM$4:BM$312,"&gt;0")</f>
        <v>0</v>
      </c>
      <c r="G138" s="61">
        <f t="shared" si="12"/>
        <v>0</v>
      </c>
      <c r="H138" s="91">
        <f t="shared" si="13"/>
        <v>0</v>
      </c>
      <c r="I138" s="91"/>
      <c r="J138" s="91"/>
      <c r="K138" s="91"/>
      <c r="L138" s="91"/>
      <c r="M138" s="91"/>
      <c r="N138" s="91"/>
      <c r="O138" s="91"/>
      <c r="P138" s="91"/>
      <c r="Q138" s="91"/>
    </row>
    <row r="139" spans="1:17" ht="14.5">
      <c r="A139" s="54" t="s">
        <v>196</v>
      </c>
      <c r="B139" s="67">
        <f>SUMIFS('Safeguard facility data'!BI$4:BI$312,'Safeguard facility data'!$Q$4:$Q$312,$A139,'Safeguard facility data'!BI$4:BI$312,"&gt;0")</f>
        <v>0</v>
      </c>
      <c r="C139" s="67">
        <f>SUMIFS('Safeguard facility data'!BJ$4:BJ$312,'Safeguard facility data'!$Q$4:$Q$312,$A139,'Safeguard facility data'!BJ$4:BJ$312,"&gt;0")</f>
        <v>0</v>
      </c>
      <c r="D139" s="67">
        <f>SUMIFS('Safeguard facility data'!BK$4:BK$312,'Safeguard facility data'!$Q$4:$Q$312,$A139,'Safeguard facility data'!BK$4:BK$312,"&gt;0")</f>
        <v>0</v>
      </c>
      <c r="E139" s="67">
        <f>SUMIFS('Safeguard facility data'!BL$4:BL$312,'Safeguard facility data'!$Q$4:$Q$312,$A139,'Safeguard facility data'!BL$4:BL$312,"&gt;0")</f>
        <v>0</v>
      </c>
      <c r="F139" s="67">
        <f>SUMIFS('Safeguard facility data'!BM$4:BM$312,'Safeguard facility data'!$Q$4:$Q$312,$A139,'Safeguard facility data'!BM$4:BM$312,"&gt;0")</f>
        <v>0</v>
      </c>
      <c r="G139" s="61">
        <f t="shared" si="12"/>
        <v>0</v>
      </c>
      <c r="H139" s="91">
        <f t="shared" si="13"/>
        <v>0</v>
      </c>
      <c r="I139" s="91"/>
      <c r="J139" s="91"/>
      <c r="K139" s="91"/>
      <c r="L139" s="91"/>
      <c r="M139" s="91"/>
      <c r="N139" s="91"/>
      <c r="O139" s="91"/>
      <c r="P139" s="91"/>
      <c r="Q139" s="91"/>
    </row>
    <row r="140" spans="1:17" ht="14.5">
      <c r="A140" s="54" t="s">
        <v>197</v>
      </c>
      <c r="B140" s="67">
        <f>SUMIFS('Safeguard facility data'!BI$4:BI$312,'Safeguard facility data'!$Q$4:$Q$312,$A140,'Safeguard facility data'!BI$4:BI$312,"&gt;0")</f>
        <v>0</v>
      </c>
      <c r="C140" s="67">
        <f>SUMIFS('Safeguard facility data'!BJ$4:BJ$312,'Safeguard facility data'!$Q$4:$Q$312,$A140,'Safeguard facility data'!BJ$4:BJ$312,"&gt;0")</f>
        <v>0</v>
      </c>
      <c r="D140" s="67">
        <f>SUMIFS('Safeguard facility data'!BK$4:BK$312,'Safeguard facility data'!$Q$4:$Q$312,$A140,'Safeguard facility data'!BK$4:BK$312,"&gt;0")</f>
        <v>0</v>
      </c>
      <c r="E140" s="67">
        <f>SUMIFS('Safeguard facility data'!BL$4:BL$312,'Safeguard facility data'!$Q$4:$Q$312,$A140,'Safeguard facility data'!BL$4:BL$312,"&gt;0")</f>
        <v>0</v>
      </c>
      <c r="F140" s="67">
        <f>SUMIFS('Safeguard facility data'!BM$4:BM$312,'Safeguard facility data'!$Q$4:$Q$312,$A140,'Safeguard facility data'!BM$4:BM$312,"&gt;0")</f>
        <v>0</v>
      </c>
      <c r="G140" s="61">
        <f t="shared" si="12"/>
        <v>0</v>
      </c>
      <c r="H140" s="91">
        <f t="shared" si="13"/>
        <v>0</v>
      </c>
      <c r="I140" s="91"/>
      <c r="J140" s="91"/>
      <c r="K140" s="91"/>
      <c r="L140" s="91"/>
      <c r="M140" s="91"/>
      <c r="N140" s="91"/>
      <c r="O140" s="91"/>
      <c r="P140" s="91"/>
      <c r="Q140" s="91"/>
    </row>
    <row r="141" spans="1:17" ht="14.5">
      <c r="A141" s="54" t="s">
        <v>113</v>
      </c>
      <c r="B141" s="67">
        <f>SUMIFS('Safeguard facility data'!BI$4:BI$312,'Safeguard facility data'!$Q$4:$Q$312,$A141,'Safeguard facility data'!BI$4:BI$312,"&gt;0")</f>
        <v>0</v>
      </c>
      <c r="C141" s="67">
        <f>SUMIFS('Safeguard facility data'!BJ$4:BJ$312,'Safeguard facility data'!$Q$4:$Q$312,$A141,'Safeguard facility data'!BJ$4:BJ$312,"&gt;0")</f>
        <v>0</v>
      </c>
      <c r="D141" s="67">
        <f>SUMIFS('Safeguard facility data'!BK$4:BK$312,'Safeguard facility data'!$Q$4:$Q$312,$A141,'Safeguard facility data'!BK$4:BK$312,"&gt;0")</f>
        <v>0</v>
      </c>
      <c r="E141" s="67">
        <f>SUMIFS('Safeguard facility data'!BL$4:BL$312,'Safeguard facility data'!$Q$4:$Q$312,$A141,'Safeguard facility data'!BL$4:BL$312,"&gt;0")</f>
        <v>0</v>
      </c>
      <c r="F141" s="67">
        <f>SUMIFS('Safeguard facility data'!BM$4:BM$312,'Safeguard facility data'!$Q$4:$Q$312,$A141,'Safeguard facility data'!BM$4:BM$312,"&gt;0")</f>
        <v>0</v>
      </c>
      <c r="G141" s="61">
        <f t="shared" si="12"/>
        <v>0</v>
      </c>
      <c r="H141" s="91">
        <f t="shared" si="13"/>
        <v>0</v>
      </c>
      <c r="I141" s="91"/>
      <c r="J141" s="91"/>
      <c r="K141" s="91"/>
      <c r="L141" s="91"/>
      <c r="M141" s="91"/>
      <c r="N141" s="91"/>
      <c r="O141" s="91"/>
      <c r="P141" s="91"/>
      <c r="Q141" s="91"/>
    </row>
    <row r="142" spans="1:17" ht="14.5">
      <c r="A142" s="54" t="s">
        <v>116</v>
      </c>
      <c r="B142" s="67">
        <f>SUMIFS('Safeguard facility data'!BI$4:BI$312,'Safeguard facility data'!$Q$4:$Q$312,$A142,'Safeguard facility data'!BI$4:BI$312,"&gt;0")</f>
        <v>0</v>
      </c>
      <c r="C142" s="67">
        <f>SUMIFS('Safeguard facility data'!BJ$4:BJ$312,'Safeguard facility data'!$Q$4:$Q$312,$A142,'Safeguard facility data'!BJ$4:BJ$312,"&gt;0")</f>
        <v>0</v>
      </c>
      <c r="D142" s="67">
        <f>SUMIFS('Safeguard facility data'!BK$4:BK$312,'Safeguard facility data'!$Q$4:$Q$312,$A142,'Safeguard facility data'!BK$4:BK$312,"&gt;0")</f>
        <v>0</v>
      </c>
      <c r="E142" s="67">
        <f>SUMIFS('Safeguard facility data'!BL$4:BL$312,'Safeguard facility data'!$Q$4:$Q$312,$A142,'Safeguard facility data'!BL$4:BL$312,"&gt;0")</f>
        <v>0</v>
      </c>
      <c r="F142" s="67">
        <f>SUMIFS('Safeguard facility data'!BM$4:BM$312,'Safeguard facility data'!$Q$4:$Q$312,$A142,'Safeguard facility data'!BM$4:BM$312,"&gt;0")</f>
        <v>0</v>
      </c>
      <c r="G142" s="61">
        <f t="shared" si="12"/>
        <v>0</v>
      </c>
      <c r="H142" s="91">
        <f t="shared" si="13"/>
        <v>0</v>
      </c>
      <c r="I142" s="91"/>
      <c r="J142" s="91"/>
      <c r="K142" s="91"/>
      <c r="L142" s="91"/>
      <c r="M142" s="91"/>
      <c r="N142" s="91"/>
      <c r="O142" s="91"/>
      <c r="P142" s="91"/>
      <c r="Q142" s="91"/>
    </row>
    <row r="143" spans="1:17" ht="14.5">
      <c r="A143" s="54" t="s">
        <v>198</v>
      </c>
      <c r="B143" s="67">
        <f>SUMIFS('Safeguard facility data'!BI$4:BI$312,'Safeguard facility data'!$Q$4:$Q$312,$A143,'Safeguard facility data'!BI$4:BI$312,"&gt;0")</f>
        <v>0</v>
      </c>
      <c r="C143" s="67">
        <f>SUMIFS('Safeguard facility data'!BJ$4:BJ$312,'Safeguard facility data'!$Q$4:$Q$312,$A143,'Safeguard facility data'!BJ$4:BJ$312,"&gt;0")</f>
        <v>0</v>
      </c>
      <c r="D143" s="67">
        <f>SUMIFS('Safeguard facility data'!BK$4:BK$312,'Safeguard facility data'!$Q$4:$Q$312,$A143,'Safeguard facility data'!BK$4:BK$312,"&gt;0")</f>
        <v>0</v>
      </c>
      <c r="E143" s="67">
        <f>SUMIFS('Safeguard facility data'!BL$4:BL$312,'Safeguard facility data'!$Q$4:$Q$312,$A143,'Safeguard facility data'!BL$4:BL$312,"&gt;0")</f>
        <v>0</v>
      </c>
      <c r="F143" s="67">
        <f>SUMIFS('Safeguard facility data'!BM$4:BM$312,'Safeguard facility data'!$Q$4:$Q$312,$A143,'Safeguard facility data'!BM$4:BM$312,"&gt;0")</f>
        <v>0</v>
      </c>
      <c r="G143" s="61">
        <f t="shared" si="12"/>
        <v>0</v>
      </c>
      <c r="H143" s="91">
        <f t="shared" si="13"/>
        <v>0</v>
      </c>
      <c r="I143" s="91"/>
      <c r="J143" s="91"/>
      <c r="K143" s="91"/>
      <c r="L143" s="91"/>
      <c r="M143" s="91"/>
      <c r="N143" s="91"/>
      <c r="O143" s="91"/>
      <c r="P143" s="91"/>
      <c r="Q143" s="91"/>
    </row>
    <row r="144" spans="1:17" ht="14.5">
      <c r="A144" s="54" t="s">
        <v>97</v>
      </c>
      <c r="B144" s="67">
        <f>SUMIFS('Safeguard facility data'!BI$4:BI$312,'Safeguard facility data'!$Q$4:$Q$312,$A144,'Safeguard facility data'!BI$4:BI$312,"&gt;0")</f>
        <v>0</v>
      </c>
      <c r="C144" s="67">
        <f>SUMIFS('Safeguard facility data'!BJ$4:BJ$312,'Safeguard facility data'!$Q$4:$Q$312,$A144,'Safeguard facility data'!BJ$4:BJ$312,"&gt;0")</f>
        <v>0</v>
      </c>
      <c r="D144" s="67">
        <f>SUMIFS('Safeguard facility data'!BK$4:BK$312,'Safeguard facility data'!$Q$4:$Q$312,$A144,'Safeguard facility data'!BK$4:BK$312,"&gt;0")</f>
        <v>0</v>
      </c>
      <c r="E144" s="67">
        <f>SUMIFS('Safeguard facility data'!BL$4:BL$312,'Safeguard facility data'!$Q$4:$Q$312,$A144,'Safeguard facility data'!BL$4:BL$312,"&gt;0")</f>
        <v>0</v>
      </c>
      <c r="F144" s="67">
        <f>SUMIFS('Safeguard facility data'!BM$4:BM$312,'Safeguard facility data'!$Q$4:$Q$312,$A144,'Safeguard facility data'!BM$4:BM$312,"&gt;0")</f>
        <v>0</v>
      </c>
      <c r="G144" s="61">
        <f t="shared" si="12"/>
        <v>0</v>
      </c>
      <c r="H144" s="91">
        <f t="shared" si="13"/>
        <v>0</v>
      </c>
      <c r="I144" s="91"/>
      <c r="J144" s="91"/>
      <c r="K144" s="91"/>
      <c r="L144" s="91"/>
      <c r="M144" s="91"/>
      <c r="N144" s="91"/>
      <c r="O144" s="91"/>
      <c r="P144" s="91"/>
      <c r="Q144" s="91"/>
    </row>
    <row r="145" spans="1:17" ht="14.5">
      <c r="A145" s="54" t="s">
        <v>276</v>
      </c>
      <c r="B145" s="67">
        <f>SUMIFS('Safeguard facility data'!BI$4:BI$312,'Safeguard facility data'!$Q$4:$Q$312,$A145,'Safeguard facility data'!BI$4:BI$312,"&gt;0")</f>
        <v>0</v>
      </c>
      <c r="C145" s="67">
        <f>SUMIFS('Safeguard facility data'!BJ$4:BJ$312,'Safeguard facility data'!$Q$4:$Q$312,$A145,'Safeguard facility data'!BJ$4:BJ$312,"&gt;0")</f>
        <v>0</v>
      </c>
      <c r="D145" s="67">
        <f>SUMIFS('Safeguard facility data'!BK$4:BK$312,'Safeguard facility data'!$Q$4:$Q$312,$A145,'Safeguard facility data'!BK$4:BK$312,"&gt;0")</f>
        <v>0</v>
      </c>
      <c r="E145" s="67">
        <f>SUMIFS('Safeguard facility data'!BL$4:BL$312,'Safeguard facility data'!$Q$4:$Q$312,$A145,'Safeguard facility data'!BL$4:BL$312,"&gt;0")</f>
        <v>0</v>
      </c>
      <c r="F145" s="67">
        <f>SUMIFS('Safeguard facility data'!BM$4:BM$312,'Safeguard facility data'!$Q$4:$Q$312,$A145,'Safeguard facility data'!BM$4:BM$312,"&gt;0")</f>
        <v>0</v>
      </c>
      <c r="G145" s="61">
        <f t="shared" si="12"/>
        <v>0</v>
      </c>
      <c r="H145" s="91">
        <f t="shared" si="13"/>
        <v>0</v>
      </c>
      <c r="I145" s="91"/>
      <c r="J145" s="91"/>
      <c r="K145" s="91"/>
      <c r="L145" s="91"/>
      <c r="M145" s="91"/>
      <c r="N145" s="91"/>
      <c r="O145" s="91"/>
      <c r="P145" s="91"/>
      <c r="Q145" s="91"/>
    </row>
    <row r="146" spans="1:17" ht="14.5">
      <c r="A146" s="54" t="s">
        <v>199</v>
      </c>
      <c r="B146" s="67">
        <f>SUMIFS('Safeguard facility data'!BI$4:BI$312,'Safeguard facility data'!$Q$4:$Q$312,$A146,'Safeguard facility data'!BI$4:BI$312,"&gt;0")</f>
        <v>0</v>
      </c>
      <c r="C146" s="67">
        <f>SUMIFS('Safeguard facility data'!BJ$4:BJ$312,'Safeguard facility data'!$Q$4:$Q$312,$A146,'Safeguard facility data'!BJ$4:BJ$312,"&gt;0")</f>
        <v>0</v>
      </c>
      <c r="D146" s="67">
        <f>SUMIFS('Safeguard facility data'!BK$4:BK$312,'Safeguard facility data'!$Q$4:$Q$312,$A146,'Safeguard facility data'!BK$4:BK$312,"&gt;0")</f>
        <v>0</v>
      </c>
      <c r="E146" s="67">
        <f>SUMIFS('Safeguard facility data'!BL$4:BL$312,'Safeguard facility data'!$Q$4:$Q$312,$A146,'Safeguard facility data'!BL$4:BL$312,"&gt;0")</f>
        <v>0</v>
      </c>
      <c r="F146" s="67">
        <f>SUMIFS('Safeguard facility data'!BM$4:BM$312,'Safeguard facility data'!$Q$4:$Q$312,$A146,'Safeguard facility data'!BM$4:BM$312,"&gt;0")</f>
        <v>0</v>
      </c>
      <c r="G146" s="61">
        <f t="shared" si="12"/>
        <v>0</v>
      </c>
      <c r="H146" s="91">
        <f t="shared" si="13"/>
        <v>0</v>
      </c>
      <c r="I146" s="91"/>
      <c r="J146" s="91"/>
      <c r="K146" s="91"/>
      <c r="L146" s="91"/>
      <c r="M146" s="91"/>
      <c r="N146" s="91"/>
      <c r="O146" s="91"/>
      <c r="P146" s="91"/>
      <c r="Q146" s="91"/>
    </row>
    <row r="147" spans="1:17" ht="14.5">
      <c r="A147" s="54" t="s">
        <v>200</v>
      </c>
      <c r="B147" s="67">
        <f>SUMIFS('Safeguard facility data'!BI$4:BI$312,'Safeguard facility data'!$Q$4:$Q$312,$A147,'Safeguard facility data'!BI$4:BI$312,"&gt;0")</f>
        <v>0</v>
      </c>
      <c r="C147" s="67">
        <f>SUMIFS('Safeguard facility data'!BJ$4:BJ$312,'Safeguard facility data'!$Q$4:$Q$312,$A147,'Safeguard facility data'!BJ$4:BJ$312,"&gt;0")</f>
        <v>0</v>
      </c>
      <c r="D147" s="67">
        <f>SUMIFS('Safeguard facility data'!BK$4:BK$312,'Safeguard facility data'!$Q$4:$Q$312,$A147,'Safeguard facility data'!BK$4:BK$312,"&gt;0")</f>
        <v>0</v>
      </c>
      <c r="E147" s="67">
        <f>SUMIFS('Safeguard facility data'!BL$4:BL$312,'Safeguard facility data'!$Q$4:$Q$312,$A147,'Safeguard facility data'!BL$4:BL$312,"&gt;0")</f>
        <v>0</v>
      </c>
      <c r="F147" s="67">
        <f>SUMIFS('Safeguard facility data'!BM$4:BM$312,'Safeguard facility data'!$Q$4:$Q$312,$A147,'Safeguard facility data'!BM$4:BM$312,"&gt;0")</f>
        <v>0</v>
      </c>
      <c r="G147" s="61">
        <f t="shared" si="12"/>
        <v>0</v>
      </c>
      <c r="H147" s="91">
        <f t="shared" si="13"/>
        <v>0</v>
      </c>
      <c r="I147" s="91"/>
      <c r="J147" s="91"/>
      <c r="K147" s="91"/>
      <c r="L147" s="91"/>
      <c r="M147" s="91"/>
      <c r="N147" s="91"/>
      <c r="O147" s="91"/>
      <c r="P147" s="91"/>
      <c r="Q147" s="91"/>
    </row>
    <row r="148" spans="1:17" ht="14.5">
      <c r="A148" s="54" t="s">
        <v>201</v>
      </c>
      <c r="B148" s="67">
        <f>SUMIFS('Safeguard facility data'!BI$4:BI$312,'Safeguard facility data'!$Q$4:$Q$312,$A148,'Safeguard facility data'!BI$4:BI$312,"&gt;0")</f>
        <v>0</v>
      </c>
      <c r="C148" s="67">
        <f>SUMIFS('Safeguard facility data'!BJ$4:BJ$312,'Safeguard facility data'!$Q$4:$Q$312,$A148,'Safeguard facility data'!BJ$4:BJ$312,"&gt;0")</f>
        <v>0</v>
      </c>
      <c r="D148" s="67">
        <f>SUMIFS('Safeguard facility data'!BK$4:BK$312,'Safeguard facility data'!$Q$4:$Q$312,$A148,'Safeguard facility data'!BK$4:BK$312,"&gt;0")</f>
        <v>0</v>
      </c>
      <c r="E148" s="67">
        <f>SUMIFS('Safeguard facility data'!BL$4:BL$312,'Safeguard facility data'!$Q$4:$Q$312,$A148,'Safeguard facility data'!BL$4:BL$312,"&gt;0")</f>
        <v>0</v>
      </c>
      <c r="F148" s="67">
        <f>SUMIFS('Safeguard facility data'!BM$4:BM$312,'Safeguard facility data'!$Q$4:$Q$312,$A148,'Safeguard facility data'!BM$4:BM$312,"&gt;0")</f>
        <v>0</v>
      </c>
      <c r="G148" s="61">
        <f t="shared" si="12"/>
        <v>0</v>
      </c>
      <c r="H148" s="91">
        <f t="shared" si="13"/>
        <v>0</v>
      </c>
      <c r="I148" s="91"/>
      <c r="J148" s="91"/>
      <c r="K148" s="91"/>
      <c r="L148" s="91"/>
      <c r="M148" s="91"/>
      <c r="N148" s="91"/>
      <c r="O148" s="91"/>
      <c r="P148" s="91"/>
      <c r="Q148" s="91"/>
    </row>
    <row r="149" spans="1:17" ht="14.5">
      <c r="A149" s="54" t="s">
        <v>202</v>
      </c>
      <c r="B149" s="67">
        <f>SUMIFS('Safeguard facility data'!BI$4:BI$312,'Safeguard facility data'!$Q$4:$Q$312,$A149,'Safeguard facility data'!BI$4:BI$312,"&gt;0")</f>
        <v>0</v>
      </c>
      <c r="C149" s="67">
        <f>SUMIFS('Safeguard facility data'!BJ$4:BJ$312,'Safeguard facility data'!$Q$4:$Q$312,$A149,'Safeguard facility data'!BJ$4:BJ$312,"&gt;0")</f>
        <v>0</v>
      </c>
      <c r="D149" s="67">
        <f>SUMIFS('Safeguard facility data'!BK$4:BK$312,'Safeguard facility data'!$Q$4:$Q$312,$A149,'Safeguard facility data'!BK$4:BK$312,"&gt;0")</f>
        <v>0</v>
      </c>
      <c r="E149" s="67">
        <f>SUMIFS('Safeguard facility data'!BL$4:BL$312,'Safeguard facility data'!$Q$4:$Q$312,$A149,'Safeguard facility data'!BL$4:BL$312,"&gt;0")</f>
        <v>0</v>
      </c>
      <c r="F149" s="67">
        <f>SUMIFS('Safeguard facility data'!BM$4:BM$312,'Safeguard facility data'!$Q$4:$Q$312,$A149,'Safeguard facility data'!BM$4:BM$312,"&gt;0")</f>
        <v>0</v>
      </c>
      <c r="G149" s="61">
        <f t="shared" si="12"/>
        <v>0</v>
      </c>
      <c r="H149" s="91">
        <f t="shared" si="13"/>
        <v>0</v>
      </c>
      <c r="I149" s="91"/>
      <c r="J149" s="91"/>
      <c r="K149" s="91"/>
      <c r="L149" s="91"/>
      <c r="M149" s="91"/>
      <c r="N149" s="91"/>
      <c r="O149" s="91"/>
      <c r="P149" s="91"/>
      <c r="Q149" s="91"/>
    </row>
    <row r="150" spans="1:17" ht="14.5">
      <c r="A150" s="54" t="s">
        <v>100</v>
      </c>
      <c r="B150" s="67">
        <f>SUMIFS('Safeguard facility data'!BI$4:BI$312,'Safeguard facility data'!$Q$4:$Q$312,$A150,'Safeguard facility data'!BI$4:BI$312,"&gt;0")</f>
        <v>0</v>
      </c>
      <c r="C150" s="67">
        <f>SUMIFS('Safeguard facility data'!BJ$4:BJ$312,'Safeguard facility data'!$Q$4:$Q$312,$A150,'Safeguard facility data'!BJ$4:BJ$312,"&gt;0")</f>
        <v>0</v>
      </c>
      <c r="D150" s="67">
        <f>SUMIFS('Safeguard facility data'!BK$4:BK$312,'Safeguard facility data'!$Q$4:$Q$312,$A150,'Safeguard facility data'!BK$4:BK$312,"&gt;0")</f>
        <v>0</v>
      </c>
      <c r="E150" s="67">
        <f>SUMIFS('Safeguard facility data'!BL$4:BL$312,'Safeguard facility data'!$Q$4:$Q$312,$A150,'Safeguard facility data'!BL$4:BL$312,"&gt;0")</f>
        <v>0</v>
      </c>
      <c r="F150" s="67">
        <f>SUMIFS('Safeguard facility data'!BM$4:BM$312,'Safeguard facility data'!$Q$4:$Q$312,$A150,'Safeguard facility data'!BM$4:BM$312,"&gt;0")</f>
        <v>0</v>
      </c>
      <c r="G150" s="61">
        <f t="shared" si="12"/>
        <v>0</v>
      </c>
      <c r="H150" s="91">
        <f t="shared" si="13"/>
        <v>0</v>
      </c>
      <c r="I150" s="91"/>
      <c r="J150" s="91"/>
      <c r="K150" s="91"/>
      <c r="L150" s="91"/>
      <c r="M150" s="91"/>
      <c r="N150" s="91"/>
      <c r="O150" s="91"/>
      <c r="P150" s="91"/>
      <c r="Q150" s="91"/>
    </row>
    <row r="151" spans="1:17" ht="14.5">
      <c r="A151" s="54" t="s">
        <v>103</v>
      </c>
      <c r="B151" s="67">
        <f>SUMIFS('Safeguard facility data'!BI$4:BI$312,'Safeguard facility data'!$Q$4:$Q$312,$A151,'Safeguard facility data'!BI$4:BI$312,"&gt;0")</f>
        <v>0</v>
      </c>
      <c r="C151" s="67">
        <f>SUMIFS('Safeguard facility data'!BJ$4:BJ$312,'Safeguard facility data'!$Q$4:$Q$312,$A151,'Safeguard facility data'!BJ$4:BJ$312,"&gt;0")</f>
        <v>0</v>
      </c>
      <c r="D151" s="67">
        <f>SUMIFS('Safeguard facility data'!BK$4:BK$312,'Safeguard facility data'!$Q$4:$Q$312,$A151,'Safeguard facility data'!BK$4:BK$312,"&gt;0")</f>
        <v>0</v>
      </c>
      <c r="E151" s="67">
        <f>SUMIFS('Safeguard facility data'!BL$4:BL$312,'Safeguard facility data'!$Q$4:$Q$312,$A151,'Safeguard facility data'!BL$4:BL$312,"&gt;0")</f>
        <v>0</v>
      </c>
      <c r="F151" s="67">
        <f>SUMIFS('Safeguard facility data'!BM$4:BM$312,'Safeguard facility data'!$Q$4:$Q$312,$A151,'Safeguard facility data'!BM$4:BM$312,"&gt;0")</f>
        <v>0</v>
      </c>
      <c r="G151" s="61">
        <f t="shared" si="12"/>
        <v>0</v>
      </c>
      <c r="H151" s="91">
        <f t="shared" si="13"/>
        <v>0</v>
      </c>
      <c r="I151" s="91"/>
      <c r="J151" s="91"/>
      <c r="K151" s="91"/>
      <c r="L151" s="91"/>
      <c r="M151" s="91"/>
      <c r="N151" s="91"/>
      <c r="O151" s="91"/>
      <c r="P151" s="91"/>
      <c r="Q151" s="91"/>
    </row>
    <row r="152" spans="1:17" ht="14.5">
      <c r="A152" s="54" t="s">
        <v>105</v>
      </c>
      <c r="B152" s="67">
        <f>SUMIFS('Safeguard facility data'!BI$4:BI$312,'Safeguard facility data'!$Q$4:$Q$312,$A152,'Safeguard facility data'!BI$4:BI$312,"&gt;0")</f>
        <v>0</v>
      </c>
      <c r="C152" s="67">
        <f>SUMIFS('Safeguard facility data'!BJ$4:BJ$312,'Safeguard facility data'!$Q$4:$Q$312,$A152,'Safeguard facility data'!BJ$4:BJ$312,"&gt;0")</f>
        <v>0</v>
      </c>
      <c r="D152" s="67">
        <f>SUMIFS('Safeguard facility data'!BK$4:BK$312,'Safeguard facility data'!$Q$4:$Q$312,$A152,'Safeguard facility data'!BK$4:BK$312,"&gt;0")</f>
        <v>0</v>
      </c>
      <c r="E152" s="67">
        <f>SUMIFS('Safeguard facility data'!BL$4:BL$312,'Safeguard facility data'!$Q$4:$Q$312,$A152,'Safeguard facility data'!BL$4:BL$312,"&gt;0")</f>
        <v>0</v>
      </c>
      <c r="F152" s="67">
        <f>SUMIFS('Safeguard facility data'!BM$4:BM$312,'Safeguard facility data'!$Q$4:$Q$312,$A152,'Safeguard facility data'!BM$4:BM$312,"&gt;0")</f>
        <v>0</v>
      </c>
      <c r="G152" s="61">
        <f t="shared" si="12"/>
        <v>0</v>
      </c>
      <c r="H152" s="91">
        <f t="shared" si="13"/>
        <v>0</v>
      </c>
      <c r="I152" s="91"/>
      <c r="J152" s="91"/>
      <c r="K152" s="91"/>
      <c r="L152" s="91"/>
      <c r="M152" s="91"/>
      <c r="N152" s="91"/>
      <c r="O152" s="91"/>
      <c r="P152" s="91"/>
      <c r="Q152" s="91"/>
    </row>
    <row r="153" spans="1:17" ht="14.5">
      <c r="A153" s="54" t="s">
        <v>203</v>
      </c>
      <c r="B153" s="67">
        <f>SUMIFS('Safeguard facility data'!BI$4:BI$312,'Safeguard facility data'!$Q$4:$Q$312,$A153,'Safeguard facility data'!BI$4:BI$312,"&gt;0")</f>
        <v>0</v>
      </c>
      <c r="C153" s="67">
        <f>SUMIFS('Safeguard facility data'!BJ$4:BJ$312,'Safeguard facility data'!$Q$4:$Q$312,$A153,'Safeguard facility data'!BJ$4:BJ$312,"&gt;0")</f>
        <v>0</v>
      </c>
      <c r="D153" s="67">
        <f>SUMIFS('Safeguard facility data'!BK$4:BK$312,'Safeguard facility data'!$Q$4:$Q$312,$A153,'Safeguard facility data'!BK$4:BK$312,"&gt;0")</f>
        <v>0</v>
      </c>
      <c r="E153" s="67">
        <f>SUMIFS('Safeguard facility data'!BL$4:BL$312,'Safeguard facility data'!$Q$4:$Q$312,$A153,'Safeguard facility data'!BL$4:BL$312,"&gt;0")</f>
        <v>0</v>
      </c>
      <c r="F153" s="67">
        <f>SUMIFS('Safeguard facility data'!BM$4:BM$312,'Safeguard facility data'!$Q$4:$Q$312,$A153,'Safeguard facility data'!BM$4:BM$312,"&gt;0")</f>
        <v>0</v>
      </c>
      <c r="G153" s="61">
        <f t="shared" si="12"/>
        <v>0</v>
      </c>
      <c r="H153" s="91">
        <f t="shared" si="13"/>
        <v>0</v>
      </c>
      <c r="I153" s="91"/>
      <c r="J153" s="91"/>
      <c r="K153" s="91"/>
      <c r="L153" s="91"/>
      <c r="M153" s="91"/>
      <c r="N153" s="91"/>
      <c r="O153" s="91"/>
      <c r="P153" s="91"/>
      <c r="Q153" s="91"/>
    </row>
    <row r="154" spans="1:17" ht="14.5">
      <c r="A154" s="54" t="s">
        <v>251</v>
      </c>
      <c r="B154" s="67">
        <f>SUMIFS('Safeguard facility data'!BI$4:BI$312,'Safeguard facility data'!$Q$4:$Q$312,$A154,'Safeguard facility data'!BI$4:BI$312,"&gt;0")</f>
        <v>0</v>
      </c>
      <c r="C154" s="67">
        <f>SUMIFS('Safeguard facility data'!BJ$4:BJ$312,'Safeguard facility data'!$Q$4:$Q$312,$A154,'Safeguard facility data'!BJ$4:BJ$312,"&gt;0")</f>
        <v>0</v>
      </c>
      <c r="D154" s="67">
        <f>SUMIFS('Safeguard facility data'!BK$4:BK$312,'Safeguard facility data'!$Q$4:$Q$312,$A154,'Safeguard facility data'!BK$4:BK$312,"&gt;0")</f>
        <v>0</v>
      </c>
      <c r="E154" s="67">
        <f>SUMIFS('Safeguard facility data'!BL$4:BL$312,'Safeguard facility data'!$Q$4:$Q$312,$A154,'Safeguard facility data'!BL$4:BL$312,"&gt;0")</f>
        <v>0</v>
      </c>
      <c r="F154" s="67">
        <f>SUMIFS('Safeguard facility data'!BM$4:BM$312,'Safeguard facility data'!$Q$4:$Q$312,$A154,'Safeguard facility data'!BM$4:BM$312,"&gt;0")</f>
        <v>0</v>
      </c>
      <c r="G154" s="61">
        <f t="shared" si="12"/>
        <v>0</v>
      </c>
      <c r="H154" s="91">
        <f t="shared" si="13"/>
        <v>0</v>
      </c>
      <c r="I154" s="91"/>
      <c r="J154" s="91"/>
      <c r="K154" s="91"/>
      <c r="L154" s="91"/>
      <c r="M154" s="91"/>
      <c r="N154" s="91"/>
      <c r="O154" s="91"/>
      <c r="P154" s="91"/>
      <c r="Q154" s="91"/>
    </row>
    <row r="155" spans="1:17" ht="14.5">
      <c r="A155" s="54" t="s">
        <v>252</v>
      </c>
      <c r="B155" s="67">
        <f>SUMIFS('Safeguard facility data'!BI$4:BI$312,'Safeguard facility data'!$Q$4:$Q$312,$A155,'Safeguard facility data'!BI$4:BI$312,"&gt;0")</f>
        <v>0</v>
      </c>
      <c r="C155" s="67">
        <f>SUMIFS('Safeguard facility data'!BJ$4:BJ$312,'Safeguard facility data'!$Q$4:$Q$312,$A155,'Safeguard facility data'!BJ$4:BJ$312,"&gt;0")</f>
        <v>0</v>
      </c>
      <c r="D155" s="67">
        <f>SUMIFS('Safeguard facility data'!BK$4:BK$312,'Safeguard facility data'!$Q$4:$Q$312,$A155,'Safeguard facility data'!BK$4:BK$312,"&gt;0")</f>
        <v>0</v>
      </c>
      <c r="E155" s="67">
        <f>SUMIFS('Safeguard facility data'!BL$4:BL$312,'Safeguard facility data'!$Q$4:$Q$312,$A155,'Safeguard facility data'!BL$4:BL$312,"&gt;0")</f>
        <v>0</v>
      </c>
      <c r="F155" s="67">
        <f>SUMIFS('Safeguard facility data'!BM$4:BM$312,'Safeguard facility data'!$Q$4:$Q$312,$A155,'Safeguard facility data'!BM$4:BM$312,"&gt;0")</f>
        <v>0</v>
      </c>
      <c r="G155" s="61">
        <f t="shared" si="12"/>
        <v>0</v>
      </c>
      <c r="H155" s="91">
        <f t="shared" si="13"/>
        <v>0</v>
      </c>
      <c r="I155" s="91"/>
      <c r="J155" s="91"/>
      <c r="K155" s="91"/>
      <c r="L155" s="91"/>
      <c r="M155" s="91"/>
      <c r="N155" s="91"/>
      <c r="O155" s="91"/>
      <c r="P155" s="91"/>
      <c r="Q155" s="91"/>
    </row>
    <row r="156" spans="1:17" ht="14.5">
      <c r="A156" s="54" t="s">
        <v>205</v>
      </c>
      <c r="B156" s="67">
        <f>SUMIFS('Safeguard facility data'!BI$4:BI$312,'Safeguard facility data'!$Q$4:$Q$312,$A156,'Safeguard facility data'!BI$4:BI$312,"&gt;0")</f>
        <v>0</v>
      </c>
      <c r="C156" s="67">
        <f>SUMIFS('Safeguard facility data'!BJ$4:BJ$312,'Safeguard facility data'!$Q$4:$Q$312,$A156,'Safeguard facility data'!BJ$4:BJ$312,"&gt;0")</f>
        <v>0</v>
      </c>
      <c r="D156" s="67">
        <f>SUMIFS('Safeguard facility data'!BK$4:BK$312,'Safeguard facility data'!$Q$4:$Q$312,$A156,'Safeguard facility data'!BK$4:BK$312,"&gt;0")</f>
        <v>0</v>
      </c>
      <c r="E156" s="67">
        <f>SUMIFS('Safeguard facility data'!BL$4:BL$312,'Safeguard facility data'!$Q$4:$Q$312,$A156,'Safeguard facility data'!BL$4:BL$312,"&gt;0")</f>
        <v>0</v>
      </c>
      <c r="F156" s="67">
        <f>SUMIFS('Safeguard facility data'!BM$4:BM$312,'Safeguard facility data'!$Q$4:$Q$312,$A156,'Safeguard facility data'!BM$4:BM$312,"&gt;0")</f>
        <v>0</v>
      </c>
      <c r="G156" s="61">
        <f t="shared" si="12"/>
        <v>0</v>
      </c>
      <c r="H156" s="91">
        <f t="shared" si="13"/>
        <v>0</v>
      </c>
      <c r="I156" s="91"/>
      <c r="J156" s="91"/>
      <c r="K156" s="91"/>
      <c r="L156" s="91"/>
      <c r="M156" s="91"/>
      <c r="N156" s="91"/>
      <c r="O156" s="91"/>
      <c r="P156" s="91"/>
      <c r="Q156" s="91"/>
    </row>
    <row r="157" spans="1:17" ht="14.5">
      <c r="A157" s="54" t="s">
        <v>84</v>
      </c>
      <c r="B157" s="67">
        <f>SUMIFS('Safeguard facility data'!BI$4:BI$312,'Safeguard facility data'!$Q$4:$Q$312,$A157,'Safeguard facility data'!BI$4:BI$312,"&gt;0")</f>
        <v>0</v>
      </c>
      <c r="C157" s="67">
        <f>SUMIFS('Safeguard facility data'!BJ$4:BJ$312,'Safeguard facility data'!$Q$4:$Q$312,$A157,'Safeguard facility data'!BJ$4:BJ$312,"&gt;0")</f>
        <v>0</v>
      </c>
      <c r="D157" s="67">
        <f>SUMIFS('Safeguard facility data'!BK$4:BK$312,'Safeguard facility data'!$Q$4:$Q$312,$A157,'Safeguard facility data'!BK$4:BK$312,"&gt;0")</f>
        <v>0</v>
      </c>
      <c r="E157" s="67">
        <f>SUMIFS('Safeguard facility data'!BL$4:BL$312,'Safeguard facility data'!$Q$4:$Q$312,$A157,'Safeguard facility data'!BL$4:BL$312,"&gt;0")</f>
        <v>0</v>
      </c>
      <c r="F157" s="67">
        <f>SUMIFS('Safeguard facility data'!BM$4:BM$312,'Safeguard facility data'!$Q$4:$Q$312,$A157,'Safeguard facility data'!BM$4:BM$312,"&gt;0")</f>
        <v>0</v>
      </c>
      <c r="G157" s="61">
        <f t="shared" si="12"/>
        <v>0</v>
      </c>
      <c r="H157" s="91">
        <f t="shared" si="13"/>
        <v>0</v>
      </c>
      <c r="I157" s="91"/>
      <c r="J157" s="91"/>
      <c r="K157" s="91"/>
      <c r="L157" s="91"/>
      <c r="M157" s="91"/>
      <c r="N157" s="91"/>
      <c r="O157" s="91"/>
      <c r="P157" s="91"/>
      <c r="Q157" s="91"/>
    </row>
    <row r="158" spans="1:17" ht="14.5">
      <c r="A158" s="54" t="s">
        <v>206</v>
      </c>
      <c r="B158" s="67">
        <f>SUMIFS('Safeguard facility data'!BI$4:BI$312,'Safeguard facility data'!$Q$4:$Q$312,$A158,'Safeguard facility data'!BI$4:BI$312,"&gt;0")</f>
        <v>0</v>
      </c>
      <c r="C158" s="67">
        <f>SUMIFS('Safeguard facility data'!BJ$4:BJ$312,'Safeguard facility data'!$Q$4:$Q$312,$A158,'Safeguard facility data'!BJ$4:BJ$312,"&gt;0")</f>
        <v>0</v>
      </c>
      <c r="D158" s="67">
        <f>SUMIFS('Safeguard facility data'!BK$4:BK$312,'Safeguard facility data'!$Q$4:$Q$312,$A158,'Safeguard facility data'!BK$4:BK$312,"&gt;0")</f>
        <v>0</v>
      </c>
      <c r="E158" s="67">
        <f>SUMIFS('Safeguard facility data'!BL$4:BL$312,'Safeguard facility data'!$Q$4:$Q$312,$A158,'Safeguard facility data'!BL$4:BL$312,"&gt;0")</f>
        <v>0</v>
      </c>
      <c r="F158" s="67">
        <f>SUMIFS('Safeguard facility data'!BM$4:BM$312,'Safeguard facility data'!$Q$4:$Q$312,$A158,'Safeguard facility data'!BM$4:BM$312,"&gt;0")</f>
        <v>0</v>
      </c>
      <c r="G158" s="61">
        <f t="shared" si="12"/>
        <v>0</v>
      </c>
      <c r="H158" s="91">
        <f t="shared" si="13"/>
        <v>0</v>
      </c>
      <c r="I158" s="91"/>
      <c r="J158" s="91"/>
      <c r="K158" s="91"/>
      <c r="L158" s="91"/>
      <c r="M158" s="91"/>
      <c r="N158" s="91"/>
      <c r="O158" s="91"/>
      <c r="P158" s="91"/>
      <c r="Q158" s="91"/>
    </row>
    <row r="159" spans="1:17" ht="14.5">
      <c r="A159" s="54" t="s">
        <v>207</v>
      </c>
      <c r="B159" s="67">
        <f>SUMIFS('Safeguard facility data'!BI$4:BI$312,'Safeguard facility data'!$Q$4:$Q$312,$A159,'Safeguard facility data'!BI$4:BI$312,"&gt;0")</f>
        <v>0</v>
      </c>
      <c r="C159" s="67">
        <f>SUMIFS('Safeguard facility data'!BJ$4:BJ$312,'Safeguard facility data'!$Q$4:$Q$312,$A159,'Safeguard facility data'!BJ$4:BJ$312,"&gt;0")</f>
        <v>0</v>
      </c>
      <c r="D159" s="67">
        <f>SUMIFS('Safeguard facility data'!BK$4:BK$312,'Safeguard facility data'!$Q$4:$Q$312,$A159,'Safeguard facility data'!BK$4:BK$312,"&gt;0")</f>
        <v>0</v>
      </c>
      <c r="E159" s="67">
        <f>SUMIFS('Safeguard facility data'!BL$4:BL$312,'Safeguard facility data'!$Q$4:$Q$312,$A159,'Safeguard facility data'!BL$4:BL$312,"&gt;0")</f>
        <v>0</v>
      </c>
      <c r="F159" s="67">
        <f>SUMIFS('Safeguard facility data'!BM$4:BM$312,'Safeguard facility data'!$Q$4:$Q$312,$A159,'Safeguard facility data'!BM$4:BM$312,"&gt;0")</f>
        <v>0</v>
      </c>
      <c r="G159" s="61">
        <f t="shared" si="12"/>
        <v>0</v>
      </c>
      <c r="H159" s="91">
        <f t="shared" si="13"/>
        <v>0</v>
      </c>
      <c r="I159" s="91"/>
      <c r="J159" s="91"/>
      <c r="K159" s="91"/>
      <c r="L159" s="91"/>
      <c r="M159" s="91"/>
      <c r="N159" s="91"/>
      <c r="O159" s="91"/>
      <c r="P159" s="91"/>
      <c r="Q159" s="91"/>
    </row>
    <row r="160" spans="1:17" ht="14.5">
      <c r="A160" s="54" t="s">
        <v>253</v>
      </c>
      <c r="B160" s="67">
        <f>SUMIFS('Safeguard facility data'!BI$4:BI$312,'Safeguard facility data'!$Q$4:$Q$312,$A160,'Safeguard facility data'!BI$4:BI$312,"&gt;0")</f>
        <v>0</v>
      </c>
      <c r="C160" s="67">
        <f>SUMIFS('Safeguard facility data'!BJ$4:BJ$312,'Safeguard facility data'!$Q$4:$Q$312,$A160,'Safeguard facility data'!BJ$4:BJ$312,"&gt;0")</f>
        <v>0</v>
      </c>
      <c r="D160" s="67">
        <f>SUMIFS('Safeguard facility data'!BK$4:BK$312,'Safeguard facility data'!$Q$4:$Q$312,$A160,'Safeguard facility data'!BK$4:BK$312,"&gt;0")</f>
        <v>0</v>
      </c>
      <c r="E160" s="67">
        <f>SUMIFS('Safeguard facility data'!BL$4:BL$312,'Safeguard facility data'!$Q$4:$Q$312,$A160,'Safeguard facility data'!BL$4:BL$312,"&gt;0")</f>
        <v>0</v>
      </c>
      <c r="F160" s="67">
        <f>SUMIFS('Safeguard facility data'!BM$4:BM$312,'Safeguard facility data'!$Q$4:$Q$312,$A160,'Safeguard facility data'!BM$4:BM$312,"&gt;0")</f>
        <v>0</v>
      </c>
      <c r="G160" s="61">
        <f t="shared" si="12"/>
        <v>0</v>
      </c>
      <c r="H160" s="91">
        <f t="shared" si="13"/>
        <v>0</v>
      </c>
      <c r="I160" s="91"/>
      <c r="J160" s="91"/>
      <c r="K160" s="91"/>
      <c r="L160" s="91"/>
      <c r="M160" s="91"/>
      <c r="N160" s="91"/>
      <c r="O160" s="91"/>
      <c r="P160" s="91"/>
      <c r="Q160" s="91"/>
    </row>
    <row r="161" spans="1:17" ht="14.5">
      <c r="A161" s="54" t="s">
        <v>254</v>
      </c>
      <c r="B161" s="67">
        <f>SUMIFS('Safeguard facility data'!BI$4:BI$312,'Safeguard facility data'!$Q$4:$Q$312,$A161,'Safeguard facility data'!BI$4:BI$312,"&gt;0")</f>
        <v>0</v>
      </c>
      <c r="C161" s="67">
        <f>SUMIFS('Safeguard facility data'!BJ$4:BJ$312,'Safeguard facility data'!$Q$4:$Q$312,$A161,'Safeguard facility data'!BJ$4:BJ$312,"&gt;0")</f>
        <v>0</v>
      </c>
      <c r="D161" s="67">
        <f>SUMIFS('Safeguard facility data'!BK$4:BK$312,'Safeguard facility data'!$Q$4:$Q$312,$A161,'Safeguard facility data'!BK$4:BK$312,"&gt;0")</f>
        <v>0</v>
      </c>
      <c r="E161" s="67">
        <f>SUMIFS('Safeguard facility data'!BL$4:BL$312,'Safeguard facility data'!$Q$4:$Q$312,$A161,'Safeguard facility data'!BL$4:BL$312,"&gt;0")</f>
        <v>0</v>
      </c>
      <c r="F161" s="67">
        <f>SUMIFS('Safeguard facility data'!BM$4:BM$312,'Safeguard facility data'!$Q$4:$Q$312,$A161,'Safeguard facility data'!BM$4:BM$312,"&gt;0")</f>
        <v>0</v>
      </c>
      <c r="G161" s="61">
        <f t="shared" si="12"/>
        <v>0</v>
      </c>
      <c r="H161" s="91">
        <f t="shared" si="13"/>
        <v>0</v>
      </c>
      <c r="I161" s="91"/>
      <c r="J161" s="91"/>
      <c r="K161" s="91"/>
      <c r="L161" s="91"/>
      <c r="M161" s="91"/>
      <c r="N161" s="91"/>
      <c r="O161" s="91"/>
      <c r="P161" s="91"/>
      <c r="Q161" s="91"/>
    </row>
    <row r="162" spans="1:17" ht="14.5">
      <c r="A162" s="54" t="s">
        <v>256</v>
      </c>
      <c r="B162" s="67">
        <f>SUMIFS('Safeguard facility data'!BI$4:BI$312,'Safeguard facility data'!$Q$4:$Q$312,$A162,'Safeguard facility data'!BI$4:BI$312,"&gt;0")</f>
        <v>0</v>
      </c>
      <c r="C162" s="67">
        <f>SUMIFS('Safeguard facility data'!BJ$4:BJ$312,'Safeguard facility data'!$Q$4:$Q$312,$A162,'Safeguard facility data'!BJ$4:BJ$312,"&gt;0")</f>
        <v>0</v>
      </c>
      <c r="D162" s="67">
        <f>SUMIFS('Safeguard facility data'!BK$4:BK$312,'Safeguard facility data'!$Q$4:$Q$312,$A162,'Safeguard facility data'!BK$4:BK$312,"&gt;0")</f>
        <v>0</v>
      </c>
      <c r="E162" s="67">
        <f>SUMIFS('Safeguard facility data'!BL$4:BL$312,'Safeguard facility data'!$Q$4:$Q$312,$A162,'Safeguard facility data'!BL$4:BL$312,"&gt;0")</f>
        <v>0</v>
      </c>
      <c r="F162" s="67">
        <f>SUMIFS('Safeguard facility data'!BM$4:BM$312,'Safeguard facility data'!$Q$4:$Q$312,$A162,'Safeguard facility data'!BM$4:BM$312,"&gt;0")</f>
        <v>0</v>
      </c>
      <c r="G162" s="61">
        <f t="shared" si="12"/>
        <v>0</v>
      </c>
      <c r="H162" s="91">
        <f t="shared" si="13"/>
        <v>0</v>
      </c>
      <c r="I162" s="91"/>
      <c r="J162" s="91"/>
      <c r="K162" s="91"/>
      <c r="L162" s="91"/>
      <c r="M162" s="91"/>
      <c r="N162" s="91"/>
      <c r="O162" s="91"/>
      <c r="P162" s="91"/>
      <c r="Q162" s="91"/>
    </row>
    <row r="163" spans="1:17" ht="14.5">
      <c r="A163" s="54" t="s">
        <v>208</v>
      </c>
      <c r="B163" s="67">
        <f>SUMIFS('Safeguard facility data'!BI$4:BI$312,'Safeguard facility data'!$Q$4:$Q$312,$A163,'Safeguard facility data'!BI$4:BI$312,"&gt;0")</f>
        <v>0</v>
      </c>
      <c r="C163" s="67">
        <f>SUMIFS('Safeguard facility data'!BJ$4:BJ$312,'Safeguard facility data'!$Q$4:$Q$312,$A163,'Safeguard facility data'!BJ$4:BJ$312,"&gt;0")</f>
        <v>0</v>
      </c>
      <c r="D163" s="67">
        <f>SUMIFS('Safeguard facility data'!BK$4:BK$312,'Safeguard facility data'!$Q$4:$Q$312,$A163,'Safeguard facility data'!BK$4:BK$312,"&gt;0")</f>
        <v>0</v>
      </c>
      <c r="E163" s="67">
        <f>SUMIFS('Safeguard facility data'!BL$4:BL$312,'Safeguard facility data'!$Q$4:$Q$312,$A163,'Safeguard facility data'!BL$4:BL$312,"&gt;0")</f>
        <v>0</v>
      </c>
      <c r="F163" s="67">
        <f>SUMIFS('Safeguard facility data'!BM$4:BM$312,'Safeguard facility data'!$Q$4:$Q$312,$A163,'Safeguard facility data'!BM$4:BM$312,"&gt;0")</f>
        <v>0</v>
      </c>
      <c r="G163" s="61">
        <f t="shared" si="12"/>
        <v>0</v>
      </c>
      <c r="H163" s="91">
        <f t="shared" si="13"/>
        <v>0</v>
      </c>
      <c r="I163" s="91"/>
      <c r="J163" s="91"/>
      <c r="K163" s="91"/>
      <c r="L163" s="91"/>
      <c r="M163" s="91"/>
      <c r="N163" s="91"/>
      <c r="O163" s="91"/>
      <c r="P163" s="91"/>
      <c r="Q163" s="91"/>
    </row>
    <row r="164" spans="1:17" ht="14.5">
      <c r="A164" s="54" t="s">
        <v>285</v>
      </c>
      <c r="B164" s="67">
        <f>SUMIFS('Safeguard facility data'!BI$4:BI$312,'Safeguard facility data'!$Q$4:$Q$312,$A164,'Safeguard facility data'!BI$4:BI$312,"&gt;0")</f>
        <v>0</v>
      </c>
      <c r="C164" s="67">
        <f>SUMIFS('Safeguard facility data'!BJ$4:BJ$312,'Safeguard facility data'!$Q$4:$Q$312,$A164,'Safeguard facility data'!BJ$4:BJ$312,"&gt;0")</f>
        <v>0</v>
      </c>
      <c r="D164" s="67">
        <f>SUMIFS('Safeguard facility data'!BK$4:BK$312,'Safeguard facility data'!$Q$4:$Q$312,$A164,'Safeguard facility data'!BK$4:BK$312,"&gt;0")</f>
        <v>0</v>
      </c>
      <c r="E164" s="67">
        <f>SUMIFS('Safeguard facility data'!BL$4:BL$312,'Safeguard facility data'!$Q$4:$Q$312,$A164,'Safeguard facility data'!BL$4:BL$312,"&gt;0")</f>
        <v>0</v>
      </c>
      <c r="F164" s="67">
        <f>SUMIFS('Safeguard facility data'!BM$4:BM$312,'Safeguard facility data'!$Q$4:$Q$312,$A164,'Safeguard facility data'!BM$4:BM$312,"&gt;0")</f>
        <v>0</v>
      </c>
      <c r="G164" s="61">
        <f t="shared" si="12"/>
        <v>0</v>
      </c>
      <c r="H164" s="91">
        <f t="shared" si="13"/>
        <v>0</v>
      </c>
      <c r="I164" s="91"/>
      <c r="J164" s="91"/>
      <c r="K164" s="91"/>
      <c r="L164" s="91"/>
      <c r="M164" s="91"/>
      <c r="N164" s="91"/>
      <c r="O164" s="91"/>
      <c r="P164" s="91"/>
      <c r="Q164" s="91"/>
    </row>
    <row r="165" spans="1:17" ht="14.5">
      <c r="A165" s="54" t="s">
        <v>209</v>
      </c>
      <c r="B165" s="67">
        <f>SUMIFS('Safeguard facility data'!BI$4:BI$312,'Safeguard facility data'!$Q$4:$Q$312,$A165,'Safeguard facility data'!BI$4:BI$312,"&gt;0")</f>
        <v>0</v>
      </c>
      <c r="C165" s="67">
        <f>SUMIFS('Safeguard facility data'!BJ$4:BJ$312,'Safeguard facility data'!$Q$4:$Q$312,$A165,'Safeguard facility data'!BJ$4:BJ$312,"&gt;0")</f>
        <v>0</v>
      </c>
      <c r="D165" s="67">
        <f>SUMIFS('Safeguard facility data'!BK$4:BK$312,'Safeguard facility data'!$Q$4:$Q$312,$A165,'Safeguard facility data'!BK$4:BK$312,"&gt;0")</f>
        <v>0</v>
      </c>
      <c r="E165" s="67">
        <f>SUMIFS('Safeguard facility data'!BL$4:BL$312,'Safeguard facility data'!$Q$4:$Q$312,$A165,'Safeguard facility data'!BL$4:BL$312,"&gt;0")</f>
        <v>0</v>
      </c>
      <c r="F165" s="67">
        <f>SUMIFS('Safeguard facility data'!BM$4:BM$312,'Safeguard facility data'!$Q$4:$Q$312,$A165,'Safeguard facility data'!BM$4:BM$312,"&gt;0")</f>
        <v>0</v>
      </c>
      <c r="G165" s="61">
        <f t="shared" si="12"/>
        <v>0</v>
      </c>
      <c r="H165" s="91">
        <f t="shared" si="13"/>
        <v>0</v>
      </c>
      <c r="I165" s="91"/>
      <c r="J165" s="91"/>
      <c r="K165" s="91"/>
      <c r="L165" s="91"/>
      <c r="M165" s="91"/>
      <c r="N165" s="91"/>
      <c r="O165" s="91"/>
      <c r="P165" s="91"/>
      <c r="Q165" s="91"/>
    </row>
    <row r="166" spans="1:17" ht="14.5">
      <c r="A166" s="54" t="s">
        <v>257</v>
      </c>
      <c r="B166" s="67">
        <f>SUMIFS('Safeguard facility data'!BI$4:BI$312,'Safeguard facility data'!$Q$4:$Q$312,$A166,'Safeguard facility data'!BI$4:BI$312,"&gt;0")</f>
        <v>0</v>
      </c>
      <c r="C166" s="67">
        <f>SUMIFS('Safeguard facility data'!BJ$4:BJ$312,'Safeguard facility data'!$Q$4:$Q$312,$A166,'Safeguard facility data'!BJ$4:BJ$312,"&gt;0")</f>
        <v>0</v>
      </c>
      <c r="D166" s="67">
        <f>SUMIFS('Safeguard facility data'!BK$4:BK$312,'Safeguard facility data'!$Q$4:$Q$312,$A166,'Safeguard facility data'!BK$4:BK$312,"&gt;0")</f>
        <v>0</v>
      </c>
      <c r="E166" s="67">
        <f>SUMIFS('Safeguard facility data'!BL$4:BL$312,'Safeguard facility data'!$Q$4:$Q$312,$A166,'Safeguard facility data'!BL$4:BL$312,"&gt;0")</f>
        <v>0</v>
      </c>
      <c r="F166" s="67">
        <f>SUMIFS('Safeguard facility data'!BM$4:BM$312,'Safeguard facility data'!$Q$4:$Q$312,$A166,'Safeguard facility data'!BM$4:BM$312,"&gt;0")</f>
        <v>0</v>
      </c>
      <c r="G166" s="61">
        <f t="shared" si="12"/>
        <v>0</v>
      </c>
      <c r="H166" s="91">
        <f t="shared" si="13"/>
        <v>0</v>
      </c>
      <c r="I166" s="91"/>
      <c r="J166" s="91"/>
      <c r="K166" s="91"/>
      <c r="L166" s="91"/>
      <c r="M166" s="91"/>
      <c r="N166" s="91"/>
      <c r="O166" s="91"/>
      <c r="P166" s="91"/>
      <c r="Q166" s="91"/>
    </row>
    <row r="167" spans="1:17" ht="14.5">
      <c r="A167" s="54" t="s">
        <v>210</v>
      </c>
      <c r="B167" s="67">
        <f>SUMIFS('Safeguard facility data'!BI$4:BI$312,'Safeguard facility data'!$Q$4:$Q$312,$A167,'Safeguard facility data'!BI$4:BI$312,"&gt;0")</f>
        <v>0</v>
      </c>
      <c r="C167" s="67">
        <f>SUMIFS('Safeguard facility data'!BJ$4:BJ$312,'Safeguard facility data'!$Q$4:$Q$312,$A167,'Safeguard facility data'!BJ$4:BJ$312,"&gt;0")</f>
        <v>0</v>
      </c>
      <c r="D167" s="67">
        <f>SUMIFS('Safeguard facility data'!BK$4:BK$312,'Safeguard facility data'!$Q$4:$Q$312,$A167,'Safeguard facility data'!BK$4:BK$312,"&gt;0")</f>
        <v>0</v>
      </c>
      <c r="E167" s="67">
        <f>SUMIFS('Safeguard facility data'!BL$4:BL$312,'Safeguard facility data'!$Q$4:$Q$312,$A167,'Safeguard facility data'!BL$4:BL$312,"&gt;0")</f>
        <v>0</v>
      </c>
      <c r="F167" s="67">
        <f>SUMIFS('Safeguard facility data'!BM$4:BM$312,'Safeguard facility data'!$Q$4:$Q$312,$A167,'Safeguard facility data'!BM$4:BM$312,"&gt;0")</f>
        <v>0</v>
      </c>
      <c r="G167" s="61">
        <f t="shared" si="12"/>
        <v>0</v>
      </c>
      <c r="H167" s="91">
        <f t="shared" si="13"/>
        <v>0</v>
      </c>
      <c r="I167" s="91"/>
      <c r="J167" s="91"/>
      <c r="K167" s="91"/>
      <c r="L167" s="91"/>
      <c r="M167" s="91"/>
      <c r="N167" s="91"/>
      <c r="O167" s="91"/>
      <c r="P167" s="91"/>
      <c r="Q167" s="91"/>
    </row>
    <row r="168" spans="1:17" ht="14.5">
      <c r="A168" s="54" t="s">
        <v>211</v>
      </c>
      <c r="B168" s="67">
        <f>SUMIFS('Safeguard facility data'!BI$4:BI$312,'Safeguard facility data'!$Q$4:$Q$312,$A168,'Safeguard facility data'!BI$4:BI$312,"&gt;0")</f>
        <v>0</v>
      </c>
      <c r="C168" s="67">
        <f>SUMIFS('Safeguard facility data'!BJ$4:BJ$312,'Safeguard facility data'!$Q$4:$Q$312,$A168,'Safeguard facility data'!BJ$4:BJ$312,"&gt;0")</f>
        <v>0</v>
      </c>
      <c r="D168" s="67">
        <f>SUMIFS('Safeguard facility data'!BK$4:BK$312,'Safeguard facility data'!$Q$4:$Q$312,$A168,'Safeguard facility data'!BK$4:BK$312,"&gt;0")</f>
        <v>0</v>
      </c>
      <c r="E168" s="67">
        <f>SUMIFS('Safeguard facility data'!BL$4:BL$312,'Safeguard facility data'!$Q$4:$Q$312,$A168,'Safeguard facility data'!BL$4:BL$312,"&gt;0")</f>
        <v>0</v>
      </c>
      <c r="F168" s="67">
        <f>SUMIFS('Safeguard facility data'!BM$4:BM$312,'Safeguard facility data'!$Q$4:$Q$312,$A168,'Safeguard facility data'!BM$4:BM$312,"&gt;0")</f>
        <v>0</v>
      </c>
      <c r="G168" s="61">
        <f t="shared" si="12"/>
        <v>0</v>
      </c>
      <c r="H168" s="91">
        <f t="shared" si="13"/>
        <v>0</v>
      </c>
      <c r="I168" s="91"/>
      <c r="J168" s="91"/>
      <c r="K168" s="91"/>
      <c r="L168" s="91"/>
      <c r="M168" s="91"/>
      <c r="N168" s="91"/>
      <c r="O168" s="91"/>
      <c r="P168" s="91"/>
      <c r="Q168" s="91"/>
    </row>
    <row r="169" spans="1:17" ht="14.5">
      <c r="A169" s="54" t="s">
        <v>258</v>
      </c>
      <c r="B169" s="67">
        <f>SUMIFS('Safeguard facility data'!BI$4:BI$312,'Safeguard facility data'!$Q$4:$Q$312,$A169,'Safeguard facility data'!BI$4:BI$312,"&gt;0")</f>
        <v>0</v>
      </c>
      <c r="C169" s="67">
        <f>SUMIFS('Safeguard facility data'!BJ$4:BJ$312,'Safeguard facility data'!$Q$4:$Q$312,$A169,'Safeguard facility data'!BJ$4:BJ$312,"&gt;0")</f>
        <v>0</v>
      </c>
      <c r="D169" s="67">
        <f>SUMIFS('Safeguard facility data'!BK$4:BK$312,'Safeguard facility data'!$Q$4:$Q$312,$A169,'Safeguard facility data'!BK$4:BK$312,"&gt;0")</f>
        <v>0</v>
      </c>
      <c r="E169" s="67">
        <f>SUMIFS('Safeguard facility data'!BL$4:BL$312,'Safeguard facility data'!$Q$4:$Q$312,$A169,'Safeguard facility data'!BL$4:BL$312,"&gt;0")</f>
        <v>0</v>
      </c>
      <c r="F169" s="67">
        <f>SUMIFS('Safeguard facility data'!BM$4:BM$312,'Safeguard facility data'!$Q$4:$Q$312,$A169,'Safeguard facility data'!BM$4:BM$312,"&gt;0")</f>
        <v>0</v>
      </c>
      <c r="G169" s="61">
        <f t="shared" ref="G169:G200" si="14">SUM(B169:F169)</f>
        <v>0</v>
      </c>
      <c r="H169" s="91">
        <f t="shared" ref="H169:H200" si="15">G169/$G$3</f>
        <v>0</v>
      </c>
      <c r="I169" s="91"/>
      <c r="J169" s="91"/>
      <c r="K169" s="91"/>
      <c r="L169" s="91"/>
      <c r="M169" s="91"/>
      <c r="N169" s="91"/>
      <c r="O169" s="91"/>
      <c r="P169" s="91"/>
      <c r="Q169" s="91"/>
    </row>
    <row r="170" spans="1:17" ht="14.5">
      <c r="A170" s="54" t="s">
        <v>133</v>
      </c>
      <c r="B170" s="67">
        <f>SUMIFS('Safeguard facility data'!BI$4:BI$312,'Safeguard facility data'!$Q$4:$Q$312,$A170,'Safeguard facility data'!BI$4:BI$312,"&gt;0")</f>
        <v>0</v>
      </c>
      <c r="C170" s="67">
        <f>SUMIFS('Safeguard facility data'!BJ$4:BJ$312,'Safeguard facility data'!$Q$4:$Q$312,$A170,'Safeguard facility data'!BJ$4:BJ$312,"&gt;0")</f>
        <v>0</v>
      </c>
      <c r="D170" s="67">
        <f>SUMIFS('Safeguard facility data'!BK$4:BK$312,'Safeguard facility data'!$Q$4:$Q$312,$A170,'Safeguard facility data'!BK$4:BK$312,"&gt;0")</f>
        <v>0</v>
      </c>
      <c r="E170" s="67">
        <f>SUMIFS('Safeguard facility data'!BL$4:BL$312,'Safeguard facility data'!$Q$4:$Q$312,$A170,'Safeguard facility data'!BL$4:BL$312,"&gt;0")</f>
        <v>0</v>
      </c>
      <c r="F170" s="67">
        <f>SUMIFS('Safeguard facility data'!BM$4:BM$312,'Safeguard facility data'!$Q$4:$Q$312,$A170,'Safeguard facility data'!BM$4:BM$312,"&gt;0")</f>
        <v>0</v>
      </c>
      <c r="G170" s="61">
        <f t="shared" si="14"/>
        <v>0</v>
      </c>
      <c r="H170" s="91">
        <f t="shared" si="15"/>
        <v>0</v>
      </c>
      <c r="I170" s="91"/>
      <c r="J170" s="91"/>
      <c r="K170" s="91"/>
      <c r="L170" s="91"/>
      <c r="M170" s="91"/>
      <c r="N170" s="91"/>
      <c r="O170" s="91"/>
      <c r="P170" s="91"/>
      <c r="Q170" s="91"/>
    </row>
    <row r="171" spans="1:17" ht="14.5">
      <c r="A171" s="54" t="s">
        <v>212</v>
      </c>
      <c r="B171" s="67">
        <f>SUMIFS('Safeguard facility data'!BI$4:BI$312,'Safeguard facility data'!$Q$4:$Q$312,$A171,'Safeguard facility data'!BI$4:BI$312,"&gt;0")</f>
        <v>0</v>
      </c>
      <c r="C171" s="67">
        <f>SUMIFS('Safeguard facility data'!BJ$4:BJ$312,'Safeguard facility data'!$Q$4:$Q$312,$A171,'Safeguard facility data'!BJ$4:BJ$312,"&gt;0")</f>
        <v>0</v>
      </c>
      <c r="D171" s="67">
        <f>SUMIFS('Safeguard facility data'!BK$4:BK$312,'Safeguard facility data'!$Q$4:$Q$312,$A171,'Safeguard facility data'!BK$4:BK$312,"&gt;0")</f>
        <v>0</v>
      </c>
      <c r="E171" s="67">
        <f>SUMIFS('Safeguard facility data'!BL$4:BL$312,'Safeguard facility data'!$Q$4:$Q$312,$A171,'Safeguard facility data'!BL$4:BL$312,"&gt;0")</f>
        <v>0</v>
      </c>
      <c r="F171" s="67">
        <f>SUMIFS('Safeguard facility data'!BM$4:BM$312,'Safeguard facility data'!$Q$4:$Q$312,$A171,'Safeguard facility data'!BM$4:BM$312,"&gt;0")</f>
        <v>0</v>
      </c>
      <c r="G171" s="61">
        <f t="shared" si="14"/>
        <v>0</v>
      </c>
      <c r="H171" s="91">
        <f t="shared" si="15"/>
        <v>0</v>
      </c>
      <c r="I171" s="91"/>
      <c r="J171" s="91"/>
      <c r="K171" s="91"/>
      <c r="L171" s="91"/>
      <c r="M171" s="91"/>
      <c r="N171" s="91"/>
      <c r="O171" s="91"/>
      <c r="P171" s="91"/>
      <c r="Q171" s="91"/>
    </row>
    <row r="172" spans="1:17" ht="14.5">
      <c r="A172" s="54" t="s">
        <v>214</v>
      </c>
      <c r="B172" s="67">
        <f>SUMIFS('Safeguard facility data'!BI$4:BI$312,'Safeguard facility data'!$Q$4:$Q$312,$A172,'Safeguard facility data'!BI$4:BI$312,"&gt;0")</f>
        <v>0</v>
      </c>
      <c r="C172" s="67">
        <f>SUMIFS('Safeguard facility data'!BJ$4:BJ$312,'Safeguard facility data'!$Q$4:$Q$312,$A172,'Safeguard facility data'!BJ$4:BJ$312,"&gt;0")</f>
        <v>0</v>
      </c>
      <c r="D172" s="67">
        <f>SUMIFS('Safeguard facility data'!BK$4:BK$312,'Safeguard facility data'!$Q$4:$Q$312,$A172,'Safeguard facility data'!BK$4:BK$312,"&gt;0")</f>
        <v>0</v>
      </c>
      <c r="E172" s="67">
        <f>SUMIFS('Safeguard facility data'!BL$4:BL$312,'Safeguard facility data'!$Q$4:$Q$312,$A172,'Safeguard facility data'!BL$4:BL$312,"&gt;0")</f>
        <v>0</v>
      </c>
      <c r="F172" s="67">
        <f>SUMIFS('Safeguard facility data'!BM$4:BM$312,'Safeguard facility data'!$Q$4:$Q$312,$A172,'Safeguard facility data'!BM$4:BM$312,"&gt;0")</f>
        <v>0</v>
      </c>
      <c r="G172" s="61">
        <f t="shared" si="14"/>
        <v>0</v>
      </c>
      <c r="H172" s="91">
        <f t="shared" si="15"/>
        <v>0</v>
      </c>
      <c r="I172" s="91"/>
      <c r="J172" s="91"/>
      <c r="K172" s="91"/>
      <c r="L172" s="91"/>
      <c r="M172" s="91"/>
      <c r="N172" s="91"/>
      <c r="O172" s="91"/>
      <c r="P172" s="91"/>
      <c r="Q172" s="91"/>
    </row>
    <row r="173" spans="1:17" ht="14.5">
      <c r="A173" s="54" t="s">
        <v>215</v>
      </c>
      <c r="B173" s="67">
        <f>SUMIFS('Safeguard facility data'!BI$4:BI$312,'Safeguard facility data'!$Q$4:$Q$312,$A173,'Safeguard facility data'!BI$4:BI$312,"&gt;0")</f>
        <v>0</v>
      </c>
      <c r="C173" s="67">
        <f>SUMIFS('Safeguard facility data'!BJ$4:BJ$312,'Safeguard facility data'!$Q$4:$Q$312,$A173,'Safeguard facility data'!BJ$4:BJ$312,"&gt;0")</f>
        <v>0</v>
      </c>
      <c r="D173" s="67">
        <f>SUMIFS('Safeguard facility data'!BK$4:BK$312,'Safeguard facility data'!$Q$4:$Q$312,$A173,'Safeguard facility data'!BK$4:BK$312,"&gt;0")</f>
        <v>0</v>
      </c>
      <c r="E173" s="67">
        <f>SUMIFS('Safeguard facility data'!BL$4:BL$312,'Safeguard facility data'!$Q$4:$Q$312,$A173,'Safeguard facility data'!BL$4:BL$312,"&gt;0")</f>
        <v>0</v>
      </c>
      <c r="F173" s="67">
        <f>SUMIFS('Safeguard facility data'!BM$4:BM$312,'Safeguard facility data'!$Q$4:$Q$312,$A173,'Safeguard facility data'!BM$4:BM$312,"&gt;0")</f>
        <v>0</v>
      </c>
      <c r="G173" s="61">
        <f t="shared" si="14"/>
        <v>0</v>
      </c>
      <c r="H173" s="91">
        <f t="shared" si="15"/>
        <v>0</v>
      </c>
      <c r="I173" s="91"/>
      <c r="J173" s="91"/>
      <c r="K173" s="91"/>
      <c r="L173" s="91"/>
      <c r="M173" s="91"/>
      <c r="N173" s="91"/>
      <c r="O173" s="91"/>
      <c r="P173" s="91"/>
      <c r="Q173" s="91"/>
    </row>
    <row r="174" spans="1:17" ht="14.5">
      <c r="A174" s="54" t="s">
        <v>216</v>
      </c>
      <c r="B174" s="67">
        <f>SUMIFS('Safeguard facility data'!BI$4:BI$312,'Safeguard facility data'!$Q$4:$Q$312,$A174,'Safeguard facility data'!BI$4:BI$312,"&gt;0")</f>
        <v>0</v>
      </c>
      <c r="C174" s="67">
        <f>SUMIFS('Safeguard facility data'!BJ$4:BJ$312,'Safeguard facility data'!$Q$4:$Q$312,$A174,'Safeguard facility data'!BJ$4:BJ$312,"&gt;0")</f>
        <v>0</v>
      </c>
      <c r="D174" s="67">
        <f>SUMIFS('Safeguard facility data'!BK$4:BK$312,'Safeguard facility data'!$Q$4:$Q$312,$A174,'Safeguard facility data'!BK$4:BK$312,"&gt;0")</f>
        <v>0</v>
      </c>
      <c r="E174" s="67">
        <f>SUMIFS('Safeguard facility data'!BL$4:BL$312,'Safeguard facility data'!$Q$4:$Q$312,$A174,'Safeguard facility data'!BL$4:BL$312,"&gt;0")</f>
        <v>0</v>
      </c>
      <c r="F174" s="67">
        <f>SUMIFS('Safeguard facility data'!BM$4:BM$312,'Safeguard facility data'!$Q$4:$Q$312,$A174,'Safeguard facility data'!BM$4:BM$312,"&gt;0")</f>
        <v>0</v>
      </c>
      <c r="G174" s="61">
        <f t="shared" si="14"/>
        <v>0</v>
      </c>
      <c r="H174" s="91">
        <f t="shared" si="15"/>
        <v>0</v>
      </c>
      <c r="I174" s="91"/>
      <c r="J174" s="91"/>
      <c r="K174" s="91"/>
      <c r="L174" s="91"/>
      <c r="M174" s="91"/>
      <c r="N174" s="91"/>
      <c r="O174" s="91"/>
      <c r="P174" s="91"/>
      <c r="Q174" s="91"/>
    </row>
    <row r="175" spans="1:17" ht="14.5">
      <c r="A175" s="54" t="s">
        <v>259</v>
      </c>
      <c r="B175" s="67">
        <f>SUMIFS('Safeguard facility data'!BI$4:BI$312,'Safeguard facility data'!$Q$4:$Q$312,$A175,'Safeguard facility data'!BI$4:BI$312,"&gt;0")</f>
        <v>0</v>
      </c>
      <c r="C175" s="67">
        <f>SUMIFS('Safeguard facility data'!BJ$4:BJ$312,'Safeguard facility data'!$Q$4:$Q$312,$A175,'Safeguard facility data'!BJ$4:BJ$312,"&gt;0")</f>
        <v>0</v>
      </c>
      <c r="D175" s="67">
        <f>SUMIFS('Safeguard facility data'!BK$4:BK$312,'Safeguard facility data'!$Q$4:$Q$312,$A175,'Safeguard facility data'!BK$4:BK$312,"&gt;0")</f>
        <v>0</v>
      </c>
      <c r="E175" s="67">
        <f>SUMIFS('Safeguard facility data'!BL$4:BL$312,'Safeguard facility data'!$Q$4:$Q$312,$A175,'Safeguard facility data'!BL$4:BL$312,"&gt;0")</f>
        <v>0</v>
      </c>
      <c r="F175" s="67">
        <f>SUMIFS('Safeguard facility data'!BM$4:BM$312,'Safeguard facility data'!$Q$4:$Q$312,$A175,'Safeguard facility data'!BM$4:BM$312,"&gt;0")</f>
        <v>0</v>
      </c>
      <c r="G175" s="61">
        <f t="shared" si="14"/>
        <v>0</v>
      </c>
      <c r="H175" s="91">
        <f t="shared" si="15"/>
        <v>0</v>
      </c>
      <c r="I175" s="91"/>
      <c r="J175" s="91"/>
      <c r="K175" s="91"/>
      <c r="L175" s="91"/>
      <c r="M175" s="91"/>
      <c r="N175" s="91"/>
      <c r="O175" s="91"/>
      <c r="P175" s="91"/>
      <c r="Q175" s="91"/>
    </row>
    <row r="176" spans="1:17" ht="14.5">
      <c r="A176" s="54" t="s">
        <v>260</v>
      </c>
      <c r="B176" s="67">
        <f>SUMIFS('Safeguard facility data'!BI$4:BI$312,'Safeguard facility data'!$Q$4:$Q$312,$A176,'Safeguard facility data'!BI$4:BI$312,"&gt;0")</f>
        <v>0</v>
      </c>
      <c r="C176" s="67">
        <f>SUMIFS('Safeguard facility data'!BJ$4:BJ$312,'Safeguard facility data'!$Q$4:$Q$312,$A176,'Safeguard facility data'!BJ$4:BJ$312,"&gt;0")</f>
        <v>0</v>
      </c>
      <c r="D176" s="67">
        <f>SUMIFS('Safeguard facility data'!BK$4:BK$312,'Safeguard facility data'!$Q$4:$Q$312,$A176,'Safeguard facility data'!BK$4:BK$312,"&gt;0")</f>
        <v>0</v>
      </c>
      <c r="E176" s="67">
        <f>SUMIFS('Safeguard facility data'!BL$4:BL$312,'Safeguard facility data'!$Q$4:$Q$312,$A176,'Safeguard facility data'!BL$4:BL$312,"&gt;0")</f>
        <v>0</v>
      </c>
      <c r="F176" s="67">
        <f>SUMIFS('Safeguard facility data'!BM$4:BM$312,'Safeguard facility data'!$Q$4:$Q$312,$A176,'Safeguard facility data'!BM$4:BM$312,"&gt;0")</f>
        <v>0</v>
      </c>
      <c r="G176" s="61">
        <f t="shared" si="14"/>
        <v>0</v>
      </c>
      <c r="H176" s="91">
        <f t="shared" si="15"/>
        <v>0</v>
      </c>
      <c r="I176" s="91"/>
      <c r="J176" s="91"/>
      <c r="K176" s="91"/>
      <c r="L176" s="91"/>
      <c r="M176" s="91"/>
      <c r="N176" s="91"/>
      <c r="O176" s="91"/>
      <c r="P176" s="91"/>
      <c r="Q176" s="91"/>
    </row>
    <row r="177" spans="1:17" ht="14.5">
      <c r="A177" s="54" t="s">
        <v>217</v>
      </c>
      <c r="B177" s="67">
        <f>SUMIFS('Safeguard facility data'!BI$4:BI$312,'Safeguard facility data'!$Q$4:$Q$312,$A177,'Safeguard facility data'!BI$4:BI$312,"&gt;0")</f>
        <v>0</v>
      </c>
      <c r="C177" s="67">
        <f>SUMIFS('Safeguard facility data'!BJ$4:BJ$312,'Safeguard facility data'!$Q$4:$Q$312,$A177,'Safeguard facility data'!BJ$4:BJ$312,"&gt;0")</f>
        <v>0</v>
      </c>
      <c r="D177" s="67">
        <f>SUMIFS('Safeguard facility data'!BK$4:BK$312,'Safeguard facility data'!$Q$4:$Q$312,$A177,'Safeguard facility data'!BK$4:BK$312,"&gt;0")</f>
        <v>0</v>
      </c>
      <c r="E177" s="67">
        <f>SUMIFS('Safeguard facility data'!BL$4:BL$312,'Safeguard facility data'!$Q$4:$Q$312,$A177,'Safeguard facility data'!BL$4:BL$312,"&gt;0")</f>
        <v>0</v>
      </c>
      <c r="F177" s="67">
        <f>SUMIFS('Safeguard facility data'!BM$4:BM$312,'Safeguard facility data'!$Q$4:$Q$312,$A177,'Safeguard facility data'!BM$4:BM$312,"&gt;0")</f>
        <v>0</v>
      </c>
      <c r="G177" s="61">
        <f t="shared" si="14"/>
        <v>0</v>
      </c>
      <c r="H177" s="91">
        <f t="shared" si="15"/>
        <v>0</v>
      </c>
      <c r="I177" s="91"/>
      <c r="J177" s="91"/>
      <c r="K177" s="91"/>
      <c r="L177" s="91"/>
      <c r="M177" s="91"/>
      <c r="N177" s="91"/>
      <c r="O177" s="91"/>
      <c r="P177" s="91"/>
      <c r="Q177" s="91"/>
    </row>
    <row r="178" spans="1:17" ht="14.5">
      <c r="A178" s="54" t="s">
        <v>218</v>
      </c>
      <c r="B178" s="67">
        <f>SUMIFS('Safeguard facility data'!BI$4:BI$312,'Safeguard facility data'!$Q$4:$Q$312,$A178,'Safeguard facility data'!BI$4:BI$312,"&gt;0")</f>
        <v>0</v>
      </c>
      <c r="C178" s="67">
        <f>SUMIFS('Safeguard facility data'!BJ$4:BJ$312,'Safeguard facility data'!$Q$4:$Q$312,$A178,'Safeguard facility data'!BJ$4:BJ$312,"&gt;0")</f>
        <v>0</v>
      </c>
      <c r="D178" s="67">
        <f>SUMIFS('Safeguard facility data'!BK$4:BK$312,'Safeguard facility data'!$Q$4:$Q$312,$A178,'Safeguard facility data'!BK$4:BK$312,"&gt;0")</f>
        <v>0</v>
      </c>
      <c r="E178" s="67">
        <f>SUMIFS('Safeguard facility data'!BL$4:BL$312,'Safeguard facility data'!$Q$4:$Q$312,$A178,'Safeguard facility data'!BL$4:BL$312,"&gt;0")</f>
        <v>0</v>
      </c>
      <c r="F178" s="67">
        <f>SUMIFS('Safeguard facility data'!BM$4:BM$312,'Safeguard facility data'!$Q$4:$Q$312,$A178,'Safeguard facility data'!BM$4:BM$312,"&gt;0")</f>
        <v>0</v>
      </c>
      <c r="G178" s="61">
        <f t="shared" si="14"/>
        <v>0</v>
      </c>
      <c r="H178" s="91">
        <f t="shared" si="15"/>
        <v>0</v>
      </c>
      <c r="I178" s="91"/>
      <c r="J178" s="91"/>
      <c r="K178" s="91"/>
      <c r="L178" s="91"/>
      <c r="M178" s="91"/>
      <c r="N178" s="91"/>
      <c r="O178" s="91"/>
      <c r="P178" s="91"/>
      <c r="Q178" s="91"/>
    </row>
    <row r="179" spans="1:17" ht="14.5">
      <c r="A179" s="54" t="s">
        <v>219</v>
      </c>
      <c r="B179" s="67">
        <f>SUMIFS('Safeguard facility data'!BI$4:BI$312,'Safeguard facility data'!$Q$4:$Q$312,$A179,'Safeguard facility data'!BI$4:BI$312,"&gt;0")</f>
        <v>0</v>
      </c>
      <c r="C179" s="67">
        <f>SUMIFS('Safeguard facility data'!BJ$4:BJ$312,'Safeguard facility data'!$Q$4:$Q$312,$A179,'Safeguard facility data'!BJ$4:BJ$312,"&gt;0")</f>
        <v>0</v>
      </c>
      <c r="D179" s="67">
        <f>SUMIFS('Safeguard facility data'!BK$4:BK$312,'Safeguard facility data'!$Q$4:$Q$312,$A179,'Safeguard facility data'!BK$4:BK$312,"&gt;0")</f>
        <v>0</v>
      </c>
      <c r="E179" s="67">
        <f>SUMIFS('Safeguard facility data'!BL$4:BL$312,'Safeguard facility data'!$Q$4:$Q$312,$A179,'Safeguard facility data'!BL$4:BL$312,"&gt;0")</f>
        <v>0</v>
      </c>
      <c r="F179" s="67">
        <f>SUMIFS('Safeguard facility data'!BM$4:BM$312,'Safeguard facility data'!$Q$4:$Q$312,$A179,'Safeguard facility data'!BM$4:BM$312,"&gt;0")</f>
        <v>0</v>
      </c>
      <c r="G179" s="61">
        <f t="shared" si="14"/>
        <v>0</v>
      </c>
      <c r="H179" s="91">
        <f t="shared" si="15"/>
        <v>0</v>
      </c>
      <c r="I179" s="91"/>
      <c r="J179" s="91"/>
      <c r="K179" s="91"/>
      <c r="L179" s="91"/>
      <c r="M179" s="91"/>
      <c r="N179" s="91"/>
      <c r="O179" s="91"/>
      <c r="P179" s="91"/>
      <c r="Q179" s="91"/>
    </row>
    <row r="180" spans="1:17" ht="14.5">
      <c r="A180" s="54" t="s">
        <v>286</v>
      </c>
      <c r="B180" s="67">
        <f>SUMIFS('Safeguard facility data'!BI$4:BI$312,'Safeguard facility data'!$Q$4:$Q$312,$A180,'Safeguard facility data'!BI$4:BI$312,"&gt;0")</f>
        <v>0</v>
      </c>
      <c r="C180" s="67">
        <f>SUMIFS('Safeguard facility data'!BJ$4:BJ$312,'Safeguard facility data'!$Q$4:$Q$312,$A180,'Safeguard facility data'!BJ$4:BJ$312,"&gt;0")</f>
        <v>0</v>
      </c>
      <c r="D180" s="67">
        <f>SUMIFS('Safeguard facility data'!BK$4:BK$312,'Safeguard facility data'!$Q$4:$Q$312,$A180,'Safeguard facility data'!BK$4:BK$312,"&gt;0")</f>
        <v>0</v>
      </c>
      <c r="E180" s="67">
        <f>SUMIFS('Safeguard facility data'!BL$4:BL$312,'Safeguard facility data'!$Q$4:$Q$312,$A180,'Safeguard facility data'!BL$4:BL$312,"&gt;0")</f>
        <v>0</v>
      </c>
      <c r="F180" s="67">
        <f>SUMIFS('Safeguard facility data'!BM$4:BM$312,'Safeguard facility data'!$Q$4:$Q$312,$A180,'Safeguard facility data'!BM$4:BM$312,"&gt;0")</f>
        <v>0</v>
      </c>
      <c r="G180" s="61">
        <f t="shared" si="14"/>
        <v>0</v>
      </c>
      <c r="H180" s="91">
        <f t="shared" si="15"/>
        <v>0</v>
      </c>
      <c r="I180" s="91"/>
      <c r="J180" s="91"/>
      <c r="K180" s="91"/>
      <c r="L180" s="91"/>
      <c r="M180" s="91"/>
      <c r="N180" s="91"/>
      <c r="O180" s="91"/>
      <c r="P180" s="91"/>
      <c r="Q180" s="91"/>
    </row>
    <row r="181" spans="1:17" ht="14.5">
      <c r="A181" s="54" t="s">
        <v>261</v>
      </c>
      <c r="B181" s="67">
        <f>SUMIFS('Safeguard facility data'!BI$4:BI$312,'Safeguard facility data'!$Q$4:$Q$312,$A181,'Safeguard facility data'!BI$4:BI$312,"&gt;0")</f>
        <v>0</v>
      </c>
      <c r="C181" s="67">
        <f>SUMIFS('Safeguard facility data'!BJ$4:BJ$312,'Safeguard facility data'!$Q$4:$Q$312,$A181,'Safeguard facility data'!BJ$4:BJ$312,"&gt;0")</f>
        <v>0</v>
      </c>
      <c r="D181" s="67">
        <f>SUMIFS('Safeguard facility data'!BK$4:BK$312,'Safeguard facility data'!$Q$4:$Q$312,$A181,'Safeguard facility data'!BK$4:BK$312,"&gt;0")</f>
        <v>0</v>
      </c>
      <c r="E181" s="67">
        <f>SUMIFS('Safeguard facility data'!BL$4:BL$312,'Safeguard facility data'!$Q$4:$Q$312,$A181,'Safeguard facility data'!BL$4:BL$312,"&gt;0")</f>
        <v>0</v>
      </c>
      <c r="F181" s="67">
        <f>SUMIFS('Safeguard facility data'!BM$4:BM$312,'Safeguard facility data'!$Q$4:$Q$312,$A181,'Safeguard facility data'!BM$4:BM$312,"&gt;0")</f>
        <v>0</v>
      </c>
      <c r="G181" s="61">
        <f t="shared" si="14"/>
        <v>0</v>
      </c>
      <c r="H181" s="91">
        <f t="shared" si="15"/>
        <v>0</v>
      </c>
      <c r="I181" s="91"/>
      <c r="J181" s="91"/>
      <c r="K181" s="91"/>
      <c r="L181" s="91"/>
      <c r="M181" s="91"/>
      <c r="N181" s="91"/>
      <c r="O181" s="91"/>
      <c r="P181" s="91"/>
      <c r="Q181" s="91"/>
    </row>
    <row r="182" spans="1:17" ht="14.5">
      <c r="A182" s="54" t="s">
        <v>220</v>
      </c>
      <c r="B182" s="67">
        <f>SUMIFS('Safeguard facility data'!BI$4:BI$312,'Safeguard facility data'!$Q$4:$Q$312,$A182,'Safeguard facility data'!BI$4:BI$312,"&gt;0")</f>
        <v>0</v>
      </c>
      <c r="C182" s="67">
        <f>SUMIFS('Safeguard facility data'!BJ$4:BJ$312,'Safeguard facility data'!$Q$4:$Q$312,$A182,'Safeguard facility data'!BJ$4:BJ$312,"&gt;0")</f>
        <v>0</v>
      </c>
      <c r="D182" s="67">
        <f>SUMIFS('Safeguard facility data'!BK$4:BK$312,'Safeguard facility data'!$Q$4:$Q$312,$A182,'Safeguard facility data'!BK$4:BK$312,"&gt;0")</f>
        <v>0</v>
      </c>
      <c r="E182" s="67">
        <f>SUMIFS('Safeguard facility data'!BL$4:BL$312,'Safeguard facility data'!$Q$4:$Q$312,$A182,'Safeguard facility data'!BL$4:BL$312,"&gt;0")</f>
        <v>0</v>
      </c>
      <c r="F182" s="67">
        <f>SUMIFS('Safeguard facility data'!BM$4:BM$312,'Safeguard facility data'!$Q$4:$Q$312,$A182,'Safeguard facility data'!BM$4:BM$312,"&gt;0")</f>
        <v>0</v>
      </c>
      <c r="G182" s="61">
        <f t="shared" si="14"/>
        <v>0</v>
      </c>
      <c r="H182" s="91">
        <f t="shared" si="15"/>
        <v>0</v>
      </c>
      <c r="I182" s="91"/>
      <c r="J182" s="91"/>
      <c r="K182" s="91"/>
      <c r="L182" s="91"/>
      <c r="M182" s="91"/>
      <c r="N182" s="91"/>
      <c r="O182" s="91"/>
      <c r="P182" s="91"/>
      <c r="Q182" s="91"/>
    </row>
    <row r="183" spans="1:17" ht="14.5">
      <c r="A183" s="54" t="s">
        <v>221</v>
      </c>
      <c r="B183" s="67">
        <f>SUMIFS('Safeguard facility data'!BI$4:BI$312,'Safeguard facility data'!$Q$4:$Q$312,$A183,'Safeguard facility data'!BI$4:BI$312,"&gt;0")</f>
        <v>0</v>
      </c>
      <c r="C183" s="67">
        <f>SUMIFS('Safeguard facility data'!BJ$4:BJ$312,'Safeguard facility data'!$Q$4:$Q$312,$A183,'Safeguard facility data'!BJ$4:BJ$312,"&gt;0")</f>
        <v>0</v>
      </c>
      <c r="D183" s="67">
        <f>SUMIFS('Safeguard facility data'!BK$4:BK$312,'Safeguard facility data'!$Q$4:$Q$312,$A183,'Safeguard facility data'!BK$4:BK$312,"&gt;0")</f>
        <v>0</v>
      </c>
      <c r="E183" s="67">
        <f>SUMIFS('Safeguard facility data'!BL$4:BL$312,'Safeguard facility data'!$Q$4:$Q$312,$A183,'Safeguard facility data'!BL$4:BL$312,"&gt;0")</f>
        <v>0</v>
      </c>
      <c r="F183" s="67">
        <f>SUMIFS('Safeguard facility data'!BM$4:BM$312,'Safeguard facility data'!$Q$4:$Q$312,$A183,'Safeguard facility data'!BM$4:BM$312,"&gt;0")</f>
        <v>0</v>
      </c>
      <c r="G183" s="61">
        <f t="shared" si="14"/>
        <v>0</v>
      </c>
      <c r="H183" s="91">
        <f t="shared" si="15"/>
        <v>0</v>
      </c>
      <c r="I183" s="91"/>
      <c r="J183" s="91"/>
      <c r="K183" s="91"/>
      <c r="L183" s="91"/>
      <c r="M183" s="91"/>
      <c r="N183" s="91"/>
      <c r="O183" s="91"/>
      <c r="P183" s="91"/>
      <c r="Q183" s="91"/>
    </row>
    <row r="184" spans="1:17" ht="14.5">
      <c r="A184" s="54" t="s">
        <v>262</v>
      </c>
      <c r="B184" s="67">
        <f>SUMIFS('Safeguard facility data'!BI$4:BI$312,'Safeguard facility data'!$Q$4:$Q$312,$A184,'Safeguard facility data'!BI$4:BI$312,"&gt;0")</f>
        <v>0</v>
      </c>
      <c r="C184" s="67">
        <f>SUMIFS('Safeguard facility data'!BJ$4:BJ$312,'Safeguard facility data'!$Q$4:$Q$312,$A184,'Safeguard facility data'!BJ$4:BJ$312,"&gt;0")</f>
        <v>0</v>
      </c>
      <c r="D184" s="67">
        <f>SUMIFS('Safeguard facility data'!BK$4:BK$312,'Safeguard facility data'!$Q$4:$Q$312,$A184,'Safeguard facility data'!BK$4:BK$312,"&gt;0")</f>
        <v>0</v>
      </c>
      <c r="E184" s="67">
        <f>SUMIFS('Safeguard facility data'!BL$4:BL$312,'Safeguard facility data'!$Q$4:$Q$312,$A184,'Safeguard facility data'!BL$4:BL$312,"&gt;0")</f>
        <v>0</v>
      </c>
      <c r="F184" s="67">
        <f>SUMIFS('Safeguard facility data'!BM$4:BM$312,'Safeguard facility data'!$Q$4:$Q$312,$A184,'Safeguard facility data'!BM$4:BM$312,"&gt;0")</f>
        <v>0</v>
      </c>
      <c r="G184" s="61">
        <f t="shared" si="14"/>
        <v>0</v>
      </c>
      <c r="H184" s="91">
        <f t="shared" si="15"/>
        <v>0</v>
      </c>
      <c r="I184" s="91"/>
      <c r="J184" s="91"/>
      <c r="K184" s="91"/>
      <c r="L184" s="91"/>
      <c r="M184" s="91"/>
      <c r="N184" s="91"/>
      <c r="O184" s="91"/>
      <c r="P184" s="91"/>
      <c r="Q184" s="91"/>
    </row>
    <row r="185" spans="1:17" ht="14.5">
      <c r="A185" s="54" t="s">
        <v>222</v>
      </c>
      <c r="B185" s="67">
        <f>SUMIFS('Safeguard facility data'!BI$4:BI$312,'Safeguard facility data'!$Q$4:$Q$312,$A185,'Safeguard facility data'!BI$4:BI$312,"&gt;0")</f>
        <v>0</v>
      </c>
      <c r="C185" s="67">
        <f>SUMIFS('Safeguard facility data'!BJ$4:BJ$312,'Safeguard facility data'!$Q$4:$Q$312,$A185,'Safeguard facility data'!BJ$4:BJ$312,"&gt;0")</f>
        <v>0</v>
      </c>
      <c r="D185" s="67">
        <f>SUMIFS('Safeguard facility data'!BK$4:BK$312,'Safeguard facility data'!$Q$4:$Q$312,$A185,'Safeguard facility data'!BK$4:BK$312,"&gt;0")</f>
        <v>0</v>
      </c>
      <c r="E185" s="67">
        <f>SUMIFS('Safeguard facility data'!BL$4:BL$312,'Safeguard facility data'!$Q$4:$Q$312,$A185,'Safeguard facility data'!BL$4:BL$312,"&gt;0")</f>
        <v>0</v>
      </c>
      <c r="F185" s="67">
        <f>SUMIFS('Safeguard facility data'!BM$4:BM$312,'Safeguard facility data'!$Q$4:$Q$312,$A185,'Safeguard facility data'!BM$4:BM$312,"&gt;0")</f>
        <v>0</v>
      </c>
      <c r="G185" s="61">
        <f t="shared" si="14"/>
        <v>0</v>
      </c>
      <c r="H185" s="91">
        <f t="shared" si="15"/>
        <v>0</v>
      </c>
      <c r="I185" s="91"/>
      <c r="J185" s="91"/>
      <c r="K185" s="91"/>
      <c r="L185" s="91"/>
      <c r="M185" s="91"/>
      <c r="N185" s="91"/>
      <c r="O185" s="91"/>
      <c r="P185" s="91"/>
      <c r="Q185" s="91"/>
    </row>
    <row r="186" spans="1:17" ht="14.5">
      <c r="A186" s="54" t="s">
        <v>223</v>
      </c>
      <c r="B186" s="67">
        <f>SUMIFS('Safeguard facility data'!BI$4:BI$312,'Safeguard facility data'!$Q$4:$Q$312,$A186,'Safeguard facility data'!BI$4:BI$312,"&gt;0")</f>
        <v>0</v>
      </c>
      <c r="C186" s="67">
        <f>SUMIFS('Safeguard facility data'!BJ$4:BJ$312,'Safeguard facility data'!$Q$4:$Q$312,$A186,'Safeguard facility data'!BJ$4:BJ$312,"&gt;0")</f>
        <v>0</v>
      </c>
      <c r="D186" s="67">
        <f>SUMIFS('Safeguard facility data'!BK$4:BK$312,'Safeguard facility data'!$Q$4:$Q$312,$A186,'Safeguard facility data'!BK$4:BK$312,"&gt;0")</f>
        <v>0</v>
      </c>
      <c r="E186" s="67">
        <f>SUMIFS('Safeguard facility data'!BL$4:BL$312,'Safeguard facility data'!$Q$4:$Q$312,$A186,'Safeguard facility data'!BL$4:BL$312,"&gt;0")</f>
        <v>0</v>
      </c>
      <c r="F186" s="67">
        <f>SUMIFS('Safeguard facility data'!BM$4:BM$312,'Safeguard facility data'!$Q$4:$Q$312,$A186,'Safeguard facility data'!BM$4:BM$312,"&gt;0")</f>
        <v>0</v>
      </c>
      <c r="G186" s="61">
        <f t="shared" si="14"/>
        <v>0</v>
      </c>
      <c r="H186" s="91">
        <f t="shared" si="15"/>
        <v>0</v>
      </c>
      <c r="I186" s="91"/>
      <c r="J186" s="91"/>
      <c r="K186" s="91"/>
      <c r="L186" s="91"/>
      <c r="M186" s="91"/>
      <c r="N186" s="91"/>
      <c r="O186" s="91"/>
      <c r="P186" s="91"/>
      <c r="Q186" s="91"/>
    </row>
    <row r="187" spans="1:17" ht="14.5">
      <c r="A187" s="54" t="s">
        <v>263</v>
      </c>
      <c r="B187" s="67">
        <f>SUMIFS('Safeguard facility data'!BI$4:BI$312,'Safeguard facility data'!$Q$4:$Q$312,$A187,'Safeguard facility data'!BI$4:BI$312,"&gt;0")</f>
        <v>0</v>
      </c>
      <c r="C187" s="67">
        <f>SUMIFS('Safeguard facility data'!BJ$4:BJ$312,'Safeguard facility data'!$Q$4:$Q$312,$A187,'Safeguard facility data'!BJ$4:BJ$312,"&gt;0")</f>
        <v>0</v>
      </c>
      <c r="D187" s="67">
        <f>SUMIFS('Safeguard facility data'!BK$4:BK$312,'Safeguard facility data'!$Q$4:$Q$312,$A187,'Safeguard facility data'!BK$4:BK$312,"&gt;0")</f>
        <v>0</v>
      </c>
      <c r="E187" s="67">
        <f>SUMIFS('Safeguard facility data'!BL$4:BL$312,'Safeguard facility data'!$Q$4:$Q$312,$A187,'Safeguard facility data'!BL$4:BL$312,"&gt;0")</f>
        <v>0</v>
      </c>
      <c r="F187" s="67">
        <f>SUMIFS('Safeguard facility data'!BM$4:BM$312,'Safeguard facility data'!$Q$4:$Q$312,$A187,'Safeguard facility data'!BM$4:BM$312,"&gt;0")</f>
        <v>0</v>
      </c>
      <c r="G187" s="61">
        <f t="shared" si="14"/>
        <v>0</v>
      </c>
      <c r="H187" s="91">
        <f t="shared" si="15"/>
        <v>0</v>
      </c>
      <c r="I187" s="91"/>
      <c r="J187" s="91"/>
      <c r="K187" s="91"/>
      <c r="L187" s="91"/>
      <c r="M187" s="91"/>
      <c r="N187" s="91"/>
      <c r="O187" s="91"/>
      <c r="P187" s="91"/>
      <c r="Q187" s="91"/>
    </row>
  </sheetData>
  <sortState xmlns:xlrd2="http://schemas.microsoft.com/office/spreadsheetml/2017/richdata2" ref="A9:H187">
    <sortCondition descending="1" ref="G9:G187"/>
    <sortCondition ref="A9:A187"/>
  </sortState>
  <pageMargins left="0.7" right="0.7" top="0.75" bottom="0.75" header="0.3" footer="0.3"/>
  <pageSetup paperSize="9" orientation="portrait" r:id="rId1"/>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outlinePr summaryBelow="0" summaryRight="0"/>
  </sheetPr>
  <dimension ref="A1:S181"/>
  <sheetViews>
    <sheetView workbookViewId="0">
      <pane ySplit="2" topLeftCell="A3" activePane="bottomLeft" state="frozen"/>
      <selection pane="bottomLeft" activeCell="C21" sqref="C21"/>
    </sheetView>
  </sheetViews>
  <sheetFormatPr defaultColWidth="14.453125" defaultRowHeight="15" customHeight="1"/>
  <cols>
    <col min="1" max="1" width="29.26953125" customWidth="1"/>
    <col min="7" max="7" width="14.453125" style="215"/>
  </cols>
  <sheetData>
    <row r="1" spans="1:19">
      <c r="A1" s="8" t="s">
        <v>908</v>
      </c>
      <c r="B1" s="8" t="s">
        <v>603</v>
      </c>
      <c r="C1" s="8" t="s">
        <v>604</v>
      </c>
      <c r="D1" s="8" t="s">
        <v>605</v>
      </c>
      <c r="E1" s="8" t="s">
        <v>606</v>
      </c>
      <c r="F1" s="8" t="s">
        <v>607</v>
      </c>
      <c r="G1" s="51" t="s">
        <v>2093</v>
      </c>
      <c r="H1" s="8"/>
      <c r="I1" s="8"/>
      <c r="J1" s="8"/>
      <c r="K1" s="8"/>
      <c r="L1" s="8"/>
      <c r="M1" s="8"/>
      <c r="N1" s="8"/>
      <c r="O1" s="8"/>
      <c r="P1" s="8"/>
      <c r="Q1" s="8"/>
      <c r="R1" s="8"/>
      <c r="S1" s="8"/>
    </row>
    <row r="2" spans="1:19">
      <c r="A2" s="8" t="s">
        <v>918</v>
      </c>
      <c r="B2" s="61">
        <f t="shared" ref="B2:F2" si="0">SUM(B3:B181)</f>
        <v>179047004</v>
      </c>
      <c r="C2" s="61">
        <f t="shared" si="0"/>
        <v>195256682</v>
      </c>
      <c r="D2" s="61">
        <f t="shared" si="0"/>
        <v>198407874</v>
      </c>
      <c r="E2" s="61">
        <f t="shared" si="0"/>
        <v>203915329</v>
      </c>
      <c r="F2" s="61">
        <f t="shared" si="0"/>
        <v>194656422</v>
      </c>
      <c r="G2" s="67">
        <f t="shared" ref="G2:G33" si="1">SUM(B2:F2)</f>
        <v>971283311</v>
      </c>
      <c r="H2" s="54"/>
      <c r="I2" s="54"/>
      <c r="J2" s="54"/>
      <c r="K2" s="54"/>
      <c r="L2" s="54"/>
      <c r="M2" s="54"/>
      <c r="N2" s="54"/>
      <c r="O2" s="54"/>
      <c r="P2" s="54"/>
      <c r="Q2" s="54"/>
      <c r="R2" s="54"/>
      <c r="S2" s="54"/>
    </row>
    <row r="3" spans="1:19">
      <c r="A3" s="54" t="s">
        <v>29</v>
      </c>
      <c r="B3" s="67">
        <f>SUMIFS('Safeguard facility data'!BB$4:BB$312,'Safeguard facility data'!$Q$4:$Q$312,$A3,'Safeguard facility data'!BB$4:BB$312,"&gt;0")</f>
        <v>52963980</v>
      </c>
      <c r="C3" s="67">
        <f>SUMIFS('Safeguard facility data'!BC$4:BC$312,'Safeguard facility data'!$Q$4:$Q$312,$A3,'Safeguard facility data'!BC$4:BC$312,"&gt;0")</f>
        <v>55055892</v>
      </c>
      <c r="D3" s="67">
        <f>SUMIFS('Safeguard facility data'!BD$4:BD$312,'Safeguard facility data'!$Q$4:$Q$312,$A3,'Safeguard facility data'!BD$4:BD$312,"&gt;0")</f>
        <v>56820673</v>
      </c>
      <c r="E3" s="67">
        <f>SUMIFS('Safeguard facility data'!BE$4:BE$312,'Safeguard facility data'!$Q$4:$Q$312,$A3,'Safeguard facility data'!BE$4:BE$312,"&gt;0")</f>
        <v>60600178</v>
      </c>
      <c r="F3" s="67">
        <f>SUMIFS('Safeguard facility data'!BF$4:BF$312,'Safeguard facility data'!$Q$4:$Q$312,$A3,'Safeguard facility data'!BF$4:BF$312,"&gt;0")</f>
        <v>51347750</v>
      </c>
      <c r="G3" s="67">
        <f t="shared" si="1"/>
        <v>276788473</v>
      </c>
      <c r="H3" s="67"/>
      <c r="I3" s="67"/>
      <c r="J3" s="67"/>
      <c r="K3" s="67"/>
      <c r="L3" s="67"/>
      <c r="M3" s="67"/>
      <c r="N3" s="67"/>
      <c r="O3" s="67"/>
      <c r="P3" s="67"/>
      <c r="Q3" s="67"/>
      <c r="R3" s="67"/>
      <c r="S3" s="67"/>
    </row>
    <row r="4" spans="1:19">
      <c r="A4" s="54" t="s">
        <v>121</v>
      </c>
      <c r="B4" s="67">
        <f>SUMIFS('Safeguard facility data'!BB$4:BB$312,'Safeguard facility data'!$Q$4:$Q$312,$A4,'Safeguard facility data'!BB$4:BB$312,"&gt;0")</f>
        <v>40707124</v>
      </c>
      <c r="C4" s="67">
        <f>SUMIFS('Safeguard facility data'!BC$4:BC$312,'Safeguard facility data'!$Q$4:$Q$312,$A4,'Safeguard facility data'!BC$4:BC$312,"&gt;0")</f>
        <v>54719881</v>
      </c>
      <c r="D4" s="67">
        <f>SUMIFS('Safeguard facility data'!BD$4:BD$312,'Safeguard facility data'!$Q$4:$Q$312,$A4,'Safeguard facility data'!BD$4:BD$312,"&gt;0")</f>
        <v>54719881</v>
      </c>
      <c r="E4" s="67">
        <f>SUMIFS('Safeguard facility data'!BE$4:BE$312,'Safeguard facility data'!$Q$4:$Q$312,$A4,'Safeguard facility data'!BE$4:BE$312,"&gt;0")</f>
        <v>55353530</v>
      </c>
      <c r="F4" s="67">
        <f>SUMIFS('Safeguard facility data'!BF$4:BF$312,'Safeguard facility data'!$Q$4:$Q$312,$A4,'Safeguard facility data'!BF$4:BF$312,"&gt;0")</f>
        <v>52150723</v>
      </c>
      <c r="G4" s="67">
        <f t="shared" si="1"/>
        <v>257651139</v>
      </c>
      <c r="H4" s="67"/>
      <c r="I4" s="67"/>
      <c r="J4" s="67"/>
      <c r="K4" s="67"/>
      <c r="L4" s="67"/>
      <c r="M4" s="67"/>
      <c r="N4" s="67"/>
      <c r="O4" s="67"/>
      <c r="P4" s="67"/>
      <c r="Q4" s="67"/>
      <c r="R4" s="67"/>
      <c r="S4" s="67"/>
    </row>
    <row r="5" spans="1:19">
      <c r="A5" s="54" t="s">
        <v>131</v>
      </c>
      <c r="B5" s="67">
        <f>SUMIFS('Safeguard facility data'!BB$4:BB$312,'Safeguard facility data'!$Q$4:$Q$312,$A5,'Safeguard facility data'!BB$4:BB$312,"&gt;0")</f>
        <v>14191733</v>
      </c>
      <c r="C5" s="67">
        <f>SUMIFS('Safeguard facility data'!BC$4:BC$312,'Safeguard facility data'!$Q$4:$Q$312,$A5,'Safeguard facility data'!BC$4:BC$312,"&gt;0")</f>
        <v>14191733</v>
      </c>
      <c r="D5" s="67">
        <f>SUMIFS('Safeguard facility data'!BD$4:BD$312,'Safeguard facility data'!$Q$4:$Q$312,$A5,'Safeguard facility data'!BD$4:BD$312,"&gt;0")</f>
        <v>14191733</v>
      </c>
      <c r="E5" s="67">
        <f>SUMIFS('Safeguard facility data'!BE$4:BE$312,'Safeguard facility data'!$Q$4:$Q$312,$A5,'Safeguard facility data'!BE$4:BE$312,"&gt;0")</f>
        <v>14345309</v>
      </c>
      <c r="F5" s="67">
        <f>SUMIFS('Safeguard facility data'!BF$4:BF$312,'Safeguard facility data'!$Q$4:$Q$312,$A5,'Safeguard facility data'!BF$4:BF$312,"&gt;0")</f>
        <v>14367023</v>
      </c>
      <c r="G5" s="67">
        <f t="shared" si="1"/>
        <v>71287531</v>
      </c>
      <c r="H5" s="67"/>
      <c r="I5" s="67"/>
      <c r="J5" s="67"/>
      <c r="K5" s="67"/>
      <c r="L5" s="67"/>
      <c r="M5" s="67"/>
      <c r="N5" s="67"/>
      <c r="O5" s="67"/>
      <c r="P5" s="67"/>
      <c r="Q5" s="67"/>
      <c r="R5" s="67"/>
      <c r="S5" s="67"/>
    </row>
    <row r="6" spans="1:19">
      <c r="A6" s="54" t="s">
        <v>16</v>
      </c>
      <c r="B6" s="67">
        <f>SUMIFS('Safeguard facility data'!BB$4:BB$312,'Safeguard facility data'!$Q$4:$Q$312,$A6,'Safeguard facility data'!BB$4:BB$312,"&gt;0")</f>
        <v>13796651</v>
      </c>
      <c r="C6" s="67">
        <f>SUMIFS('Safeguard facility data'!BC$4:BC$312,'Safeguard facility data'!$Q$4:$Q$312,$A6,'Safeguard facility data'!BC$4:BC$312,"&gt;0")</f>
        <v>13796651</v>
      </c>
      <c r="D6" s="67">
        <f>SUMIFS('Safeguard facility data'!BD$4:BD$312,'Safeguard facility data'!$Q$4:$Q$312,$A6,'Safeguard facility data'!BD$4:BD$312,"&gt;0")</f>
        <v>13796651</v>
      </c>
      <c r="E6" s="67">
        <f>SUMIFS('Safeguard facility data'!BE$4:BE$312,'Safeguard facility data'!$Q$4:$Q$312,$A6,'Safeguard facility data'!BE$4:BE$312,"&gt;0")</f>
        <v>13715837</v>
      </c>
      <c r="F6" s="67">
        <f>SUMIFS('Safeguard facility data'!BF$4:BF$312,'Safeguard facility data'!$Q$4:$Q$312,$A6,'Safeguard facility data'!BF$4:BF$312,"&gt;0")</f>
        <v>15723014</v>
      </c>
      <c r="G6" s="67">
        <f t="shared" si="1"/>
        <v>70828804</v>
      </c>
      <c r="H6" s="67"/>
      <c r="I6" s="67"/>
      <c r="J6" s="67"/>
      <c r="K6" s="67"/>
      <c r="L6" s="67"/>
      <c r="M6" s="67"/>
      <c r="N6" s="67"/>
      <c r="O6" s="67"/>
      <c r="P6" s="67"/>
      <c r="Q6" s="67"/>
      <c r="R6" s="67"/>
      <c r="S6" s="67"/>
    </row>
    <row r="7" spans="1:19">
      <c r="A7" s="54" t="s">
        <v>64</v>
      </c>
      <c r="B7" s="67">
        <f>SUMIFS('Safeguard facility data'!BB$4:BB$312,'Safeguard facility data'!$Q$4:$Q$312,$A7,'Safeguard facility data'!BB$4:BB$312,"&gt;0")</f>
        <v>7746596</v>
      </c>
      <c r="C7" s="67">
        <f>SUMIFS('Safeguard facility data'!BC$4:BC$312,'Safeguard facility data'!$Q$4:$Q$312,$A7,'Safeguard facility data'!BC$4:BC$312,"&gt;0")</f>
        <v>7746596</v>
      </c>
      <c r="D7" s="67">
        <f>SUMIFS('Safeguard facility data'!BD$4:BD$312,'Safeguard facility data'!$Q$4:$Q$312,$A7,'Safeguard facility data'!BD$4:BD$312,"&gt;0")</f>
        <v>7746596</v>
      </c>
      <c r="E7" s="67">
        <f>SUMIFS('Safeguard facility data'!BE$4:BE$312,'Safeguard facility data'!$Q$4:$Q$312,$A7,'Safeguard facility data'!BE$4:BE$312,"&gt;0")</f>
        <v>7746873</v>
      </c>
      <c r="F7" s="67">
        <f>SUMIFS('Safeguard facility data'!BF$4:BF$312,'Safeguard facility data'!$Q$4:$Q$312,$A7,'Safeguard facility data'!BF$4:BF$312,"&gt;0")</f>
        <v>7524924</v>
      </c>
      <c r="G7" s="67">
        <f t="shared" si="1"/>
        <v>38511585</v>
      </c>
      <c r="H7" s="67"/>
      <c r="I7" s="67"/>
      <c r="J7" s="67"/>
      <c r="K7" s="67"/>
      <c r="L7" s="67"/>
      <c r="M7" s="67"/>
      <c r="N7" s="67"/>
      <c r="O7" s="67"/>
      <c r="P7" s="67"/>
      <c r="Q7" s="67"/>
      <c r="R7" s="67"/>
      <c r="S7" s="67"/>
    </row>
    <row r="8" spans="1:19">
      <c r="A8" s="54" t="s">
        <v>125</v>
      </c>
      <c r="B8" s="67">
        <f>SUMIFS('Safeguard facility data'!BB$4:BB$312,'Safeguard facility data'!$Q$4:$Q$312,$A8,'Safeguard facility data'!BB$4:BB$312,"&gt;0")</f>
        <v>4813049</v>
      </c>
      <c r="C8" s="67">
        <f>SUMIFS('Safeguard facility data'!BC$4:BC$312,'Safeguard facility data'!$Q$4:$Q$312,$A8,'Safeguard facility data'!BC$4:BC$312,"&gt;0")</f>
        <v>4817858</v>
      </c>
      <c r="D8" s="67">
        <f>SUMIFS('Safeguard facility data'!BD$4:BD$312,'Safeguard facility data'!$Q$4:$Q$312,$A8,'Safeguard facility data'!BD$4:BD$312,"&gt;0")</f>
        <v>5083630</v>
      </c>
      <c r="E8" s="67">
        <f>SUMIFS('Safeguard facility data'!BE$4:BE$312,'Safeguard facility data'!$Q$4:$Q$312,$A8,'Safeguard facility data'!BE$4:BE$312,"&gt;0")</f>
        <v>5435422</v>
      </c>
      <c r="F8" s="67">
        <f>SUMIFS('Safeguard facility data'!BF$4:BF$312,'Safeguard facility data'!$Q$4:$Q$312,$A8,'Safeguard facility data'!BF$4:BF$312,"&gt;0")</f>
        <v>6381882</v>
      </c>
      <c r="G8" s="67">
        <f t="shared" si="1"/>
        <v>26531841</v>
      </c>
      <c r="H8" s="67"/>
      <c r="I8" s="67"/>
      <c r="J8" s="67"/>
      <c r="K8" s="67"/>
      <c r="L8" s="67"/>
      <c r="M8" s="67"/>
      <c r="N8" s="67"/>
      <c r="O8" s="67"/>
      <c r="P8" s="67"/>
      <c r="Q8" s="67"/>
      <c r="R8" s="67"/>
      <c r="S8" s="67"/>
    </row>
    <row r="9" spans="1:19">
      <c r="A9" s="54" t="s">
        <v>137</v>
      </c>
      <c r="B9" s="67">
        <f>SUMIFS('Safeguard facility data'!BB$4:BB$312,'Safeguard facility data'!$Q$4:$Q$312,$A9,'Safeguard facility data'!BB$4:BB$312,"&gt;0")</f>
        <v>4698510</v>
      </c>
      <c r="C9" s="67">
        <f>SUMIFS('Safeguard facility data'!BC$4:BC$312,'Safeguard facility data'!$Q$4:$Q$312,$A9,'Safeguard facility data'!BC$4:BC$312,"&gt;0")</f>
        <v>4698510</v>
      </c>
      <c r="D9" s="67">
        <f>SUMIFS('Safeguard facility data'!BD$4:BD$312,'Safeguard facility data'!$Q$4:$Q$312,$A9,'Safeguard facility data'!BD$4:BD$312,"&gt;0")</f>
        <v>4698510</v>
      </c>
      <c r="E9" s="67">
        <f>SUMIFS('Safeguard facility data'!BE$4:BE$312,'Safeguard facility data'!$Q$4:$Q$312,$A9,'Safeguard facility data'!BE$4:BE$312,"&gt;0")</f>
        <v>4698510</v>
      </c>
      <c r="F9" s="67">
        <f>SUMIFS('Safeguard facility data'!BF$4:BF$312,'Safeguard facility data'!$Q$4:$Q$312,$A9,'Safeguard facility data'!BF$4:BF$312,"&gt;0")</f>
        <v>4693619</v>
      </c>
      <c r="G9" s="67">
        <f t="shared" si="1"/>
        <v>23487659</v>
      </c>
      <c r="H9" s="67"/>
      <c r="I9" s="67"/>
      <c r="J9" s="67"/>
      <c r="K9" s="67"/>
      <c r="L9" s="67"/>
      <c r="M9" s="67"/>
      <c r="N9" s="67"/>
      <c r="O9" s="67"/>
      <c r="P9" s="67"/>
      <c r="Q9" s="67"/>
      <c r="R9" s="67"/>
      <c r="S9" s="67"/>
    </row>
    <row r="10" spans="1:19">
      <c r="A10" s="54" t="s">
        <v>159</v>
      </c>
      <c r="B10" s="67">
        <f>SUMIFS('Safeguard facility data'!BB$4:BB$312,'Safeguard facility data'!$Q$4:$Q$312,$A10,'Safeguard facility data'!BB$4:BB$312,"&gt;0")</f>
        <v>3984683</v>
      </c>
      <c r="C10" s="67">
        <f>SUMIFS('Safeguard facility data'!BC$4:BC$312,'Safeguard facility data'!$Q$4:$Q$312,$A10,'Safeguard facility data'!BC$4:BC$312,"&gt;0")</f>
        <v>3984683</v>
      </c>
      <c r="D10" s="67">
        <f>SUMIFS('Safeguard facility data'!BD$4:BD$312,'Safeguard facility data'!$Q$4:$Q$312,$A10,'Safeguard facility data'!BD$4:BD$312,"&gt;0")</f>
        <v>3984683</v>
      </c>
      <c r="E10" s="67">
        <f>SUMIFS('Safeguard facility data'!BE$4:BE$312,'Safeguard facility data'!$Q$4:$Q$312,$A10,'Safeguard facility data'!BE$4:BE$312,"&gt;0")</f>
        <v>4037618</v>
      </c>
      <c r="F10" s="67">
        <f>SUMIFS('Safeguard facility data'!BF$4:BF$312,'Safeguard facility data'!$Q$4:$Q$312,$A10,'Safeguard facility data'!BF$4:BF$312,"&gt;0")</f>
        <v>3826394</v>
      </c>
      <c r="G10" s="67">
        <f t="shared" si="1"/>
        <v>19818061</v>
      </c>
      <c r="H10" s="67"/>
      <c r="I10" s="67"/>
      <c r="J10" s="67"/>
      <c r="K10" s="67"/>
      <c r="L10" s="67"/>
      <c r="M10" s="67"/>
      <c r="N10" s="67"/>
      <c r="O10" s="67"/>
      <c r="P10" s="67"/>
      <c r="Q10" s="67"/>
      <c r="R10" s="67"/>
      <c r="S10" s="67"/>
    </row>
    <row r="11" spans="1:19">
      <c r="A11" s="54" t="s">
        <v>119</v>
      </c>
      <c r="B11" s="67">
        <f>SUMIFS('Safeguard facility data'!BB$4:BB$312,'Safeguard facility data'!$Q$4:$Q$312,$A11,'Safeguard facility data'!BB$4:BB$312,"&gt;0")</f>
        <v>3422950</v>
      </c>
      <c r="C11" s="67">
        <f>SUMIFS('Safeguard facility data'!BC$4:BC$312,'Safeguard facility data'!$Q$4:$Q$312,$A11,'Safeguard facility data'!BC$4:BC$312,"&gt;0")</f>
        <v>3422950</v>
      </c>
      <c r="D11" s="67">
        <f>SUMIFS('Safeguard facility data'!BD$4:BD$312,'Safeguard facility data'!$Q$4:$Q$312,$A11,'Safeguard facility data'!BD$4:BD$312,"&gt;0")</f>
        <v>3422950</v>
      </c>
      <c r="E11" s="67">
        <f>SUMIFS('Safeguard facility data'!BE$4:BE$312,'Safeguard facility data'!$Q$4:$Q$312,$A11,'Safeguard facility data'!BE$4:BE$312,"&gt;0")</f>
        <v>3422950</v>
      </c>
      <c r="F11" s="67">
        <f>SUMIFS('Safeguard facility data'!BF$4:BF$312,'Safeguard facility data'!$Q$4:$Q$312,$A11,'Safeguard facility data'!BF$4:BF$312,"&gt;0")</f>
        <v>3514431</v>
      </c>
      <c r="G11" s="67">
        <f t="shared" si="1"/>
        <v>17206231</v>
      </c>
      <c r="H11" s="67"/>
      <c r="I11" s="67"/>
      <c r="J11" s="67"/>
      <c r="K11" s="67"/>
      <c r="L11" s="67"/>
      <c r="M11" s="67"/>
      <c r="N11" s="67"/>
      <c r="O11" s="67"/>
      <c r="P11" s="67"/>
      <c r="Q11" s="67"/>
      <c r="R11" s="67"/>
      <c r="S11" s="67"/>
    </row>
    <row r="12" spans="1:19">
      <c r="A12" s="54" t="s">
        <v>278</v>
      </c>
      <c r="B12" s="67">
        <f>SUMIFS('Safeguard facility data'!BB$4:BB$312,'Safeguard facility data'!$Q$4:$Q$312,$A12,'Safeguard facility data'!BB$4:BB$312,"&gt;0")</f>
        <v>3306049</v>
      </c>
      <c r="C12" s="67">
        <f>SUMIFS('Safeguard facility data'!BC$4:BC$312,'Safeguard facility data'!$Q$4:$Q$312,$A12,'Safeguard facility data'!BC$4:BC$312,"&gt;0")</f>
        <v>3306049</v>
      </c>
      <c r="D12" s="67">
        <f>SUMIFS('Safeguard facility data'!BD$4:BD$312,'Safeguard facility data'!$Q$4:$Q$312,$A12,'Safeguard facility data'!BD$4:BD$312,"&gt;0")</f>
        <v>3406049</v>
      </c>
      <c r="E12" s="67">
        <f>SUMIFS('Safeguard facility data'!BE$4:BE$312,'Safeguard facility data'!$Q$4:$Q$312,$A12,'Safeguard facility data'!BE$4:BE$312,"&gt;0")</f>
        <v>3574151</v>
      </c>
      <c r="F12" s="67">
        <f>SUMIFS('Safeguard facility data'!BF$4:BF$312,'Safeguard facility data'!$Q$4:$Q$312,$A12,'Safeguard facility data'!BF$4:BF$312,"&gt;0")</f>
        <v>3547541</v>
      </c>
      <c r="G12" s="67">
        <f t="shared" si="1"/>
        <v>17139839</v>
      </c>
      <c r="H12" s="67"/>
      <c r="I12" s="67"/>
      <c r="J12" s="67"/>
      <c r="K12" s="67"/>
      <c r="L12" s="67"/>
      <c r="M12" s="67"/>
      <c r="N12" s="67"/>
      <c r="O12" s="67"/>
      <c r="P12" s="67"/>
      <c r="Q12" s="67"/>
      <c r="R12" s="67"/>
      <c r="S12" s="67"/>
    </row>
    <row r="13" spans="1:19">
      <c r="A13" s="54" t="s">
        <v>39</v>
      </c>
      <c r="B13" s="67">
        <f>SUMIFS('Safeguard facility data'!BB$4:BB$312,'Safeguard facility data'!$Q$4:$Q$312,$A13,'Safeguard facility data'!BB$4:BB$312,"&gt;0")</f>
        <v>3249237</v>
      </c>
      <c r="C13" s="67">
        <f>SUMIFS('Safeguard facility data'!BC$4:BC$312,'Safeguard facility data'!$Q$4:$Q$312,$A13,'Safeguard facility data'!BC$4:BC$312,"&gt;0")</f>
        <v>3249237</v>
      </c>
      <c r="D13" s="67">
        <f>SUMIFS('Safeguard facility data'!BD$4:BD$312,'Safeguard facility data'!$Q$4:$Q$312,$A13,'Safeguard facility data'!BD$4:BD$312,"&gt;0")</f>
        <v>3384593</v>
      </c>
      <c r="E13" s="67">
        <f>SUMIFS('Safeguard facility data'!BE$4:BE$312,'Safeguard facility data'!$Q$4:$Q$312,$A13,'Safeguard facility data'!BE$4:BE$312,"&gt;0")</f>
        <v>3264523</v>
      </c>
      <c r="F13" s="67">
        <f>SUMIFS('Safeguard facility data'!BF$4:BF$312,'Safeguard facility data'!$Q$4:$Q$312,$A13,'Safeguard facility data'!BF$4:BF$312,"&gt;0")</f>
        <v>3225194</v>
      </c>
      <c r="G13" s="67">
        <f t="shared" si="1"/>
        <v>16372784</v>
      </c>
      <c r="H13" s="67"/>
      <c r="I13" s="67"/>
      <c r="J13" s="67"/>
      <c r="K13" s="67"/>
      <c r="L13" s="67"/>
      <c r="M13" s="67"/>
      <c r="N13" s="67"/>
      <c r="O13" s="67"/>
      <c r="P13" s="67"/>
      <c r="Q13" s="67"/>
      <c r="R13" s="67"/>
      <c r="S13" s="67"/>
    </row>
    <row r="14" spans="1:19">
      <c r="A14" s="54" t="s">
        <v>272</v>
      </c>
      <c r="B14" s="67">
        <f>SUMIFS('Safeguard facility data'!BB$4:BB$312,'Safeguard facility data'!$Q$4:$Q$312,$A14,'Safeguard facility data'!BB$4:BB$312,"&gt;0")</f>
        <v>2821239</v>
      </c>
      <c r="C14" s="67">
        <f>SUMIFS('Safeguard facility data'!BC$4:BC$312,'Safeguard facility data'!$Q$4:$Q$312,$A14,'Safeguard facility data'!BC$4:BC$312,"&gt;0")</f>
        <v>2821239</v>
      </c>
      <c r="D14" s="67">
        <f>SUMIFS('Safeguard facility data'!BD$4:BD$312,'Safeguard facility data'!$Q$4:$Q$312,$A14,'Safeguard facility data'!BD$4:BD$312,"&gt;0")</f>
        <v>2821239</v>
      </c>
      <c r="E14" s="67">
        <f>SUMIFS('Safeguard facility data'!BE$4:BE$312,'Safeguard facility data'!$Q$4:$Q$312,$A14,'Safeguard facility data'!BE$4:BE$312,"&gt;0")</f>
        <v>2821239</v>
      </c>
      <c r="F14" s="67">
        <f>SUMIFS('Safeguard facility data'!BF$4:BF$312,'Safeguard facility data'!$Q$4:$Q$312,$A14,'Safeguard facility data'!BF$4:BF$312,"&gt;0")</f>
        <v>2597885</v>
      </c>
      <c r="G14" s="67">
        <f t="shared" si="1"/>
        <v>13882841</v>
      </c>
      <c r="H14" s="67"/>
      <c r="I14" s="67"/>
      <c r="J14" s="67"/>
      <c r="K14" s="67"/>
      <c r="L14" s="67"/>
      <c r="M14" s="67"/>
      <c r="N14" s="67"/>
      <c r="O14" s="67"/>
      <c r="P14" s="67"/>
      <c r="Q14" s="67"/>
      <c r="R14" s="67"/>
      <c r="S14" s="67"/>
    </row>
    <row r="15" spans="1:19">
      <c r="A15" s="54" t="s">
        <v>287</v>
      </c>
      <c r="B15" s="67">
        <f>SUMIFS('Safeguard facility data'!BB$4:BB$312,'Safeguard facility data'!$Q$4:$Q$312,$A15,'Safeguard facility data'!BB$4:BB$312,"&gt;0")</f>
        <v>2718275</v>
      </c>
      <c r="C15" s="67">
        <f>SUMIFS('Safeguard facility data'!BC$4:BC$312,'Safeguard facility data'!$Q$4:$Q$312,$A15,'Safeguard facility data'!BC$4:BC$312,"&gt;0")</f>
        <v>2718275</v>
      </c>
      <c r="D15" s="67">
        <f>SUMIFS('Safeguard facility data'!BD$4:BD$312,'Safeguard facility data'!$Q$4:$Q$312,$A15,'Safeguard facility data'!BD$4:BD$312,"&gt;0")</f>
        <v>2718275</v>
      </c>
      <c r="E15" s="67">
        <f>SUMIFS('Safeguard facility data'!BE$4:BE$312,'Safeguard facility data'!$Q$4:$Q$312,$A15,'Safeguard facility data'!BE$4:BE$312,"&gt;0")</f>
        <v>2718275</v>
      </c>
      <c r="F15" s="67">
        <f>SUMIFS('Safeguard facility data'!BF$4:BF$312,'Safeguard facility data'!$Q$4:$Q$312,$A15,'Safeguard facility data'!BF$4:BF$312,"&gt;0")</f>
        <v>2785366</v>
      </c>
      <c r="G15" s="67">
        <f t="shared" si="1"/>
        <v>13658466</v>
      </c>
      <c r="H15" s="67"/>
      <c r="I15" s="67"/>
      <c r="J15" s="67"/>
      <c r="K15" s="67"/>
      <c r="L15" s="67"/>
      <c r="M15" s="67"/>
      <c r="N15" s="67"/>
      <c r="O15" s="67"/>
      <c r="P15" s="67"/>
      <c r="Q15" s="67"/>
      <c r="R15" s="67"/>
      <c r="S15" s="67"/>
    </row>
    <row r="16" spans="1:19">
      <c r="A16" s="54" t="s">
        <v>110</v>
      </c>
      <c r="B16" s="67">
        <f>SUMIFS('Safeguard facility data'!BB$4:BB$312,'Safeguard facility data'!$Q$4:$Q$312,$A16,'Safeguard facility data'!BB$4:BB$312,"&gt;0")</f>
        <v>2627634</v>
      </c>
      <c r="C16" s="67">
        <f>SUMIFS('Safeguard facility data'!BC$4:BC$312,'Safeguard facility data'!$Q$4:$Q$312,$A16,'Safeguard facility data'!BC$4:BC$312,"&gt;0")</f>
        <v>2627634</v>
      </c>
      <c r="D16" s="67">
        <f>SUMIFS('Safeguard facility data'!BD$4:BD$312,'Safeguard facility data'!$Q$4:$Q$312,$A16,'Safeguard facility data'!BD$4:BD$312,"&gt;0")</f>
        <v>2772544</v>
      </c>
      <c r="E16" s="67">
        <f>SUMIFS('Safeguard facility data'!BE$4:BE$312,'Safeguard facility data'!$Q$4:$Q$312,$A16,'Safeguard facility data'!BE$4:BE$312,"&gt;0")</f>
        <v>2873215</v>
      </c>
      <c r="F16" s="67">
        <f>SUMIFS('Safeguard facility data'!BF$4:BF$312,'Safeguard facility data'!$Q$4:$Q$312,$A16,'Safeguard facility data'!BF$4:BF$312,"&gt;0")</f>
        <v>2554993</v>
      </c>
      <c r="G16" s="67">
        <f t="shared" si="1"/>
        <v>13456020</v>
      </c>
      <c r="H16" s="67"/>
      <c r="I16" s="67"/>
      <c r="J16" s="67"/>
      <c r="K16" s="67"/>
      <c r="L16" s="67"/>
      <c r="M16" s="67"/>
      <c r="N16" s="67"/>
      <c r="O16" s="67"/>
      <c r="P16" s="67"/>
      <c r="Q16" s="67"/>
      <c r="R16" s="67"/>
      <c r="S16" s="67"/>
    </row>
    <row r="17" spans="1:19">
      <c r="A17" s="54" t="s">
        <v>123</v>
      </c>
      <c r="B17" s="67">
        <f>SUMIFS('Safeguard facility data'!BB$4:BB$312,'Safeguard facility data'!$Q$4:$Q$312,$A17,'Safeguard facility data'!BB$4:BB$312,"&gt;0")</f>
        <v>2099656</v>
      </c>
      <c r="C17" s="67">
        <f>SUMIFS('Safeguard facility data'!BC$4:BC$312,'Safeguard facility data'!$Q$4:$Q$312,$A17,'Safeguard facility data'!BC$4:BC$312,"&gt;0")</f>
        <v>2099656</v>
      </c>
      <c r="D17" s="67">
        <f>SUMIFS('Safeguard facility data'!BD$4:BD$312,'Safeguard facility data'!$Q$4:$Q$312,$A17,'Safeguard facility data'!BD$4:BD$312,"&gt;0")</f>
        <v>2099656</v>
      </c>
      <c r="E17" s="67">
        <f>SUMIFS('Safeguard facility data'!BE$4:BE$312,'Safeguard facility data'!$Q$4:$Q$312,$A17,'Safeguard facility data'!BE$4:BE$312,"&gt;0")</f>
        <v>2568555</v>
      </c>
      <c r="F17" s="67">
        <f>SUMIFS('Safeguard facility data'!BF$4:BF$312,'Safeguard facility data'!$Q$4:$Q$312,$A17,'Safeguard facility data'!BF$4:BF$312,"&gt;0")</f>
        <v>3215173</v>
      </c>
      <c r="G17" s="67">
        <f t="shared" si="1"/>
        <v>12082696</v>
      </c>
      <c r="H17" s="67"/>
      <c r="I17" s="67"/>
      <c r="J17" s="67"/>
      <c r="K17" s="67"/>
      <c r="L17" s="67"/>
      <c r="M17" s="67"/>
      <c r="N17" s="67"/>
      <c r="O17" s="67"/>
      <c r="P17" s="67"/>
      <c r="Q17" s="67"/>
      <c r="R17" s="67"/>
      <c r="S17" s="67"/>
    </row>
    <row r="18" spans="1:19">
      <c r="A18" s="54" t="s">
        <v>158</v>
      </c>
      <c r="B18" s="67">
        <f>SUMIFS('Safeguard facility data'!BB$4:BB$312,'Safeguard facility data'!$Q$4:$Q$312,$A18,'Safeguard facility data'!BB$4:BB$312,"&gt;0")</f>
        <v>1867643</v>
      </c>
      <c r="C18" s="67">
        <f>SUMIFS('Safeguard facility data'!BC$4:BC$312,'Safeguard facility data'!$Q$4:$Q$312,$A18,'Safeguard facility data'!BC$4:BC$312,"&gt;0")</f>
        <v>1867643</v>
      </c>
      <c r="D18" s="67">
        <f>SUMIFS('Safeguard facility data'!BD$4:BD$312,'Safeguard facility data'!$Q$4:$Q$312,$A18,'Safeguard facility data'!BD$4:BD$312,"&gt;0")</f>
        <v>1981779</v>
      </c>
      <c r="E18" s="67">
        <f>SUMIFS('Safeguard facility data'!BE$4:BE$312,'Safeguard facility data'!$Q$4:$Q$312,$A18,'Safeguard facility data'!BE$4:BE$312,"&gt;0")</f>
        <v>1948631</v>
      </c>
      <c r="F18" s="67">
        <f>SUMIFS('Safeguard facility data'!BF$4:BF$312,'Safeguard facility data'!$Q$4:$Q$312,$A18,'Safeguard facility data'!BF$4:BF$312,"&gt;0")</f>
        <v>1915538</v>
      </c>
      <c r="G18" s="67">
        <f t="shared" si="1"/>
        <v>9581234</v>
      </c>
      <c r="H18" s="67"/>
      <c r="I18" s="67"/>
      <c r="J18" s="67"/>
      <c r="K18" s="67"/>
      <c r="L18" s="67"/>
      <c r="M18" s="67"/>
      <c r="N18" s="67"/>
      <c r="O18" s="67"/>
      <c r="P18" s="67"/>
      <c r="Q18" s="67"/>
      <c r="R18" s="67"/>
      <c r="S18" s="67"/>
    </row>
    <row r="19" spans="1:19">
      <c r="A19" s="54" t="s">
        <v>176</v>
      </c>
      <c r="B19" s="67">
        <f>SUMIFS('Safeguard facility data'!BB$4:BB$312,'Safeguard facility data'!$Q$4:$Q$312,$A19,'Safeguard facility data'!BB$4:BB$312,"&gt;0")</f>
        <v>1933443</v>
      </c>
      <c r="C19" s="67">
        <f>SUMIFS('Safeguard facility data'!BC$4:BC$312,'Safeguard facility data'!$Q$4:$Q$312,$A19,'Safeguard facility data'!BC$4:BC$312,"&gt;0")</f>
        <v>1933443</v>
      </c>
      <c r="D19" s="67">
        <f>SUMIFS('Safeguard facility data'!BD$4:BD$312,'Safeguard facility data'!$Q$4:$Q$312,$A19,'Safeguard facility data'!BD$4:BD$312,"&gt;0")</f>
        <v>1933443</v>
      </c>
      <c r="E19" s="67">
        <f>SUMIFS('Safeguard facility data'!BE$4:BE$312,'Safeguard facility data'!$Q$4:$Q$312,$A19,'Safeguard facility data'!BE$4:BE$312,"&gt;0")</f>
        <v>1933443</v>
      </c>
      <c r="F19" s="67">
        <f>SUMIFS('Safeguard facility data'!BF$4:BF$312,'Safeguard facility data'!$Q$4:$Q$312,$A19,'Safeguard facility data'!BF$4:BF$312,"&gt;0")</f>
        <v>1824783</v>
      </c>
      <c r="G19" s="67">
        <f t="shared" si="1"/>
        <v>9558555</v>
      </c>
      <c r="H19" s="67"/>
      <c r="I19" s="67"/>
      <c r="J19" s="67"/>
      <c r="K19" s="67"/>
      <c r="L19" s="67"/>
      <c r="M19" s="67"/>
      <c r="N19" s="67"/>
      <c r="O19" s="67"/>
      <c r="P19" s="67"/>
      <c r="Q19" s="67"/>
      <c r="R19" s="67"/>
      <c r="S19" s="67"/>
    </row>
    <row r="20" spans="1:19">
      <c r="A20" s="54" t="s">
        <v>139</v>
      </c>
      <c r="B20" s="67">
        <f>SUMIFS('Safeguard facility data'!BB$4:BB$312,'Safeguard facility data'!$Q$4:$Q$312,$A20,'Safeguard facility data'!BB$4:BB$312,"&gt;0")</f>
        <v>1900066</v>
      </c>
      <c r="C20" s="67">
        <f>SUMIFS('Safeguard facility data'!BC$4:BC$312,'Safeguard facility data'!$Q$4:$Q$312,$A20,'Safeguard facility data'!BC$4:BC$312,"&gt;0")</f>
        <v>1900066</v>
      </c>
      <c r="D20" s="67">
        <f>SUMIFS('Safeguard facility data'!BD$4:BD$312,'Safeguard facility data'!$Q$4:$Q$312,$A20,'Safeguard facility data'!BD$4:BD$312,"&gt;0")</f>
        <v>1900066</v>
      </c>
      <c r="E20" s="67">
        <f>SUMIFS('Safeguard facility data'!BE$4:BE$312,'Safeguard facility data'!$Q$4:$Q$312,$A20,'Safeguard facility data'!BE$4:BE$312,"&gt;0")</f>
        <v>1375949</v>
      </c>
      <c r="F20" s="67">
        <f>SUMIFS('Safeguard facility data'!BF$4:BF$312,'Safeguard facility data'!$Q$4:$Q$312,$A20,'Safeguard facility data'!BF$4:BF$312,"&gt;0")</f>
        <v>901148</v>
      </c>
      <c r="G20" s="67">
        <f t="shared" si="1"/>
        <v>7977295</v>
      </c>
      <c r="H20" s="67"/>
      <c r="I20" s="67"/>
      <c r="J20" s="67"/>
      <c r="K20" s="67"/>
      <c r="L20" s="67"/>
      <c r="M20" s="67"/>
      <c r="N20" s="67"/>
      <c r="O20" s="67"/>
      <c r="P20" s="67"/>
      <c r="Q20" s="67"/>
      <c r="R20" s="67"/>
      <c r="S20" s="67"/>
    </row>
    <row r="21" spans="1:19">
      <c r="A21" s="54" t="s">
        <v>277</v>
      </c>
      <c r="B21" s="67">
        <f>SUMIFS('Safeguard facility data'!BB$4:BB$312,'Safeguard facility data'!$Q$4:$Q$312,$A21,'Safeguard facility data'!BB$4:BB$312,"&gt;0")</f>
        <v>1403024</v>
      </c>
      <c r="C21" s="67">
        <f>SUMIFS('Safeguard facility data'!BC$4:BC$312,'Safeguard facility data'!$Q$4:$Q$312,$A21,'Safeguard facility data'!BC$4:BC$312,"&gt;0")</f>
        <v>1403024</v>
      </c>
      <c r="D21" s="67">
        <f>SUMIFS('Safeguard facility data'!BD$4:BD$312,'Safeguard facility data'!$Q$4:$Q$312,$A21,'Safeguard facility data'!BD$4:BD$312,"&gt;0")</f>
        <v>1403024</v>
      </c>
      <c r="E21" s="67">
        <f>SUMIFS('Safeguard facility data'!BE$4:BE$312,'Safeguard facility data'!$Q$4:$Q$312,$A21,'Safeguard facility data'!BE$4:BE$312,"&gt;0")</f>
        <v>1789024</v>
      </c>
      <c r="F21" s="67">
        <f>SUMIFS('Safeguard facility data'!BF$4:BF$312,'Safeguard facility data'!$Q$4:$Q$312,$A21,'Safeguard facility data'!BF$4:BF$312,"&gt;0")</f>
        <v>1749184</v>
      </c>
      <c r="G21" s="67">
        <f t="shared" si="1"/>
        <v>7747280</v>
      </c>
      <c r="H21" s="67"/>
      <c r="I21" s="67"/>
      <c r="J21" s="67"/>
      <c r="K21" s="67"/>
      <c r="L21" s="67"/>
      <c r="M21" s="67"/>
      <c r="N21" s="67"/>
      <c r="O21" s="67"/>
      <c r="P21" s="67"/>
      <c r="Q21" s="67"/>
      <c r="R21" s="67"/>
      <c r="S21" s="67"/>
    </row>
    <row r="22" spans="1:19">
      <c r="A22" s="54" t="s">
        <v>228</v>
      </c>
      <c r="B22" s="67">
        <f>SUMIFS('Safeguard facility data'!BB$4:BB$312,'Safeguard facility data'!$Q$4:$Q$312,$A22,'Safeguard facility data'!BB$4:BB$312,"&gt;0")</f>
        <v>974405</v>
      </c>
      <c r="C22" s="67">
        <f>SUMIFS('Safeguard facility data'!BC$4:BC$312,'Safeguard facility data'!$Q$4:$Q$312,$A22,'Safeguard facility data'!BC$4:BC$312,"&gt;0")</f>
        <v>974405</v>
      </c>
      <c r="D22" s="67">
        <f>SUMIFS('Safeguard facility data'!BD$4:BD$312,'Safeguard facility data'!$Q$4:$Q$312,$A22,'Safeguard facility data'!BD$4:BD$312,"&gt;0")</f>
        <v>1246646</v>
      </c>
      <c r="E22" s="67">
        <f>SUMIFS('Safeguard facility data'!BE$4:BE$312,'Safeguard facility data'!$Q$4:$Q$312,$A22,'Safeguard facility data'!BE$4:BE$312,"&gt;0")</f>
        <v>1246646</v>
      </c>
      <c r="F22" s="67">
        <f>SUMIFS('Safeguard facility data'!BF$4:BF$312,'Safeguard facility data'!$Q$4:$Q$312,$A22,'Safeguard facility data'!BF$4:BF$312,"&gt;0")</f>
        <v>1766661</v>
      </c>
      <c r="G22" s="67">
        <f t="shared" si="1"/>
        <v>6208763</v>
      </c>
      <c r="H22" s="67"/>
      <c r="I22" s="67"/>
      <c r="J22" s="67"/>
      <c r="K22" s="67"/>
      <c r="L22" s="67"/>
      <c r="M22" s="67"/>
      <c r="N22" s="67"/>
      <c r="O22" s="67"/>
      <c r="P22" s="67"/>
      <c r="Q22" s="67"/>
      <c r="R22" s="67"/>
      <c r="S22" s="67"/>
    </row>
    <row r="23" spans="1:19">
      <c r="A23" s="54" t="s">
        <v>225</v>
      </c>
      <c r="B23" s="67">
        <f>SUMIFS('Safeguard facility data'!BB$4:BB$312,'Safeguard facility data'!$Q$4:$Q$312,$A23,'Safeguard facility data'!BB$4:BB$312,"&gt;0")</f>
        <v>853949</v>
      </c>
      <c r="C23" s="67">
        <f>SUMIFS('Safeguard facility data'!BC$4:BC$312,'Safeguard facility data'!$Q$4:$Q$312,$A23,'Safeguard facility data'!BC$4:BC$312,"&gt;0")</f>
        <v>853949</v>
      </c>
      <c r="D23" s="67">
        <f>SUMIFS('Safeguard facility data'!BD$4:BD$312,'Safeguard facility data'!$Q$4:$Q$312,$A23,'Safeguard facility data'!BD$4:BD$312,"&gt;0")</f>
        <v>853949</v>
      </c>
      <c r="E23" s="67">
        <f>SUMIFS('Safeguard facility data'!BE$4:BE$312,'Safeguard facility data'!$Q$4:$Q$312,$A23,'Safeguard facility data'!BE$4:BE$312,"&gt;0")</f>
        <v>853949</v>
      </c>
      <c r="F23" s="67">
        <f>SUMIFS('Safeguard facility data'!BF$4:BF$312,'Safeguard facility data'!$Q$4:$Q$312,$A23,'Safeguard facility data'!BF$4:BF$312,"&gt;0")</f>
        <v>1093543</v>
      </c>
      <c r="G23" s="67">
        <f t="shared" si="1"/>
        <v>4509339</v>
      </c>
      <c r="H23" s="67"/>
      <c r="I23" s="67"/>
      <c r="J23" s="67"/>
      <c r="K23" s="67"/>
      <c r="L23" s="67"/>
      <c r="M23" s="67"/>
      <c r="N23" s="67"/>
      <c r="O23" s="67"/>
      <c r="P23" s="67"/>
      <c r="Q23" s="67"/>
      <c r="R23" s="67"/>
      <c r="S23" s="67"/>
    </row>
    <row r="24" spans="1:19">
      <c r="A24" s="54" t="s">
        <v>204</v>
      </c>
      <c r="B24" s="67">
        <f>SUMIFS('Safeguard facility data'!BB$4:BB$312,'Safeguard facility data'!$Q$4:$Q$312,$A24,'Safeguard facility data'!BB$4:BB$312,"&gt;0")</f>
        <v>842681</v>
      </c>
      <c r="C24" s="67">
        <f>SUMIFS('Safeguard facility data'!BC$4:BC$312,'Safeguard facility data'!$Q$4:$Q$312,$A24,'Safeguard facility data'!BC$4:BC$312,"&gt;0")</f>
        <v>842681</v>
      </c>
      <c r="D24" s="67">
        <f>SUMIFS('Safeguard facility data'!BD$4:BD$312,'Safeguard facility data'!$Q$4:$Q$312,$A24,'Safeguard facility data'!BD$4:BD$312,"&gt;0")</f>
        <v>842681</v>
      </c>
      <c r="E24" s="67">
        <f>SUMIFS('Safeguard facility data'!BE$4:BE$312,'Safeguard facility data'!$Q$4:$Q$312,$A24,'Safeguard facility data'!BE$4:BE$312,"&gt;0")</f>
        <v>842681</v>
      </c>
      <c r="F24" s="67">
        <f>SUMIFS('Safeguard facility data'!BF$4:BF$312,'Safeguard facility data'!$Q$4:$Q$312,$A24,'Safeguard facility data'!BF$4:BF$312,"&gt;0")</f>
        <v>815086</v>
      </c>
      <c r="G24" s="67">
        <f t="shared" si="1"/>
        <v>4185810</v>
      </c>
      <c r="H24" s="67"/>
      <c r="I24" s="67"/>
      <c r="J24" s="67"/>
      <c r="K24" s="67"/>
      <c r="L24" s="67"/>
      <c r="M24" s="67"/>
      <c r="N24" s="67"/>
      <c r="O24" s="67"/>
      <c r="P24" s="67"/>
      <c r="Q24" s="67"/>
      <c r="R24" s="67"/>
      <c r="S24" s="67"/>
    </row>
    <row r="25" spans="1:19">
      <c r="A25" s="54" t="s">
        <v>268</v>
      </c>
      <c r="B25" s="67">
        <f>SUMIFS('Safeguard facility data'!BB$4:BB$312,'Safeguard facility data'!$Q$4:$Q$312,$A25,'Safeguard facility data'!BB$4:BB$312,"&gt;0")</f>
        <v>798483</v>
      </c>
      <c r="C25" s="67">
        <f>SUMIFS('Safeguard facility data'!BC$4:BC$312,'Safeguard facility data'!$Q$4:$Q$312,$A25,'Safeguard facility data'!BC$4:BC$312,"&gt;0")</f>
        <v>798483</v>
      </c>
      <c r="D25" s="67">
        <f>SUMIFS('Safeguard facility data'!BD$4:BD$312,'Safeguard facility data'!$Q$4:$Q$312,$A25,'Safeguard facility data'!BD$4:BD$312,"&gt;0")</f>
        <v>798483</v>
      </c>
      <c r="E25" s="67">
        <f>SUMIFS('Safeguard facility data'!BE$4:BE$312,'Safeguard facility data'!$Q$4:$Q$312,$A25,'Safeguard facility data'!BE$4:BE$312,"&gt;0")</f>
        <v>798483</v>
      </c>
      <c r="F25" s="67">
        <f>SUMIFS('Safeguard facility data'!BF$4:BF$312,'Safeguard facility data'!$Q$4:$Q$312,$A25,'Safeguard facility data'!BF$4:BF$312,"&gt;0")</f>
        <v>798483</v>
      </c>
      <c r="G25" s="67">
        <f t="shared" si="1"/>
        <v>3992415</v>
      </c>
      <c r="H25" s="67"/>
      <c r="I25" s="67"/>
      <c r="J25" s="67"/>
      <c r="K25" s="67"/>
      <c r="L25" s="67"/>
      <c r="M25" s="67"/>
      <c r="N25" s="67"/>
      <c r="O25" s="67"/>
      <c r="P25" s="67"/>
      <c r="Q25" s="67"/>
      <c r="R25" s="67"/>
      <c r="S25" s="67"/>
    </row>
    <row r="26" spans="1:19">
      <c r="A26" s="54" t="s">
        <v>161</v>
      </c>
      <c r="B26" s="67">
        <f>SUMIFS('Safeguard facility data'!BB$4:BB$312,'Safeguard facility data'!$Q$4:$Q$312,$A26,'Safeguard facility data'!BB$4:BB$312,"&gt;0")</f>
        <v>709591</v>
      </c>
      <c r="C26" s="67">
        <f>SUMIFS('Safeguard facility data'!BC$4:BC$312,'Safeguard facility data'!$Q$4:$Q$312,$A26,'Safeguard facility data'!BC$4:BC$312,"&gt;0")</f>
        <v>709591</v>
      </c>
      <c r="D26" s="67">
        <f>SUMIFS('Safeguard facility data'!BD$4:BD$312,'Safeguard facility data'!$Q$4:$Q$312,$A26,'Safeguard facility data'!BD$4:BD$312,"&gt;0")</f>
        <v>709591</v>
      </c>
      <c r="E26" s="67">
        <f>SUMIFS('Safeguard facility data'!BE$4:BE$312,'Safeguard facility data'!$Q$4:$Q$312,$A26,'Safeguard facility data'!BE$4:BE$312,"&gt;0")</f>
        <v>709591</v>
      </c>
      <c r="F26" s="67">
        <f>SUMIFS('Safeguard facility data'!BF$4:BF$312,'Safeguard facility data'!$Q$4:$Q$312,$A26,'Safeguard facility data'!BF$4:BF$312,"&gt;0")</f>
        <v>708099</v>
      </c>
      <c r="G26" s="67">
        <f t="shared" si="1"/>
        <v>3546463</v>
      </c>
      <c r="H26" s="67"/>
      <c r="I26" s="67"/>
      <c r="J26" s="67"/>
      <c r="K26" s="67"/>
      <c r="L26" s="67"/>
      <c r="M26" s="67"/>
      <c r="N26" s="67"/>
      <c r="O26" s="67"/>
      <c r="P26" s="67"/>
      <c r="Q26" s="67"/>
      <c r="R26" s="67"/>
      <c r="S26" s="67"/>
    </row>
    <row r="27" spans="1:19">
      <c r="A27" s="54" t="s">
        <v>280</v>
      </c>
      <c r="B27" s="67">
        <f>SUMIFS('Safeguard facility data'!BB$4:BB$312,'Safeguard facility data'!$Q$4:$Q$312,$A27,'Safeguard facility data'!BB$4:BB$312,"&gt;0")</f>
        <v>573297</v>
      </c>
      <c r="C27" s="67">
        <f>SUMIFS('Safeguard facility data'!BC$4:BC$312,'Safeguard facility data'!$Q$4:$Q$312,$A27,'Safeguard facility data'!BC$4:BC$312,"&gt;0")</f>
        <v>573297</v>
      </c>
      <c r="D27" s="67">
        <f>SUMIFS('Safeguard facility data'!BD$4:BD$312,'Safeguard facility data'!$Q$4:$Q$312,$A27,'Safeguard facility data'!BD$4:BD$312,"&gt;0")</f>
        <v>573297</v>
      </c>
      <c r="E27" s="67">
        <f>SUMIFS('Safeguard facility data'!BE$4:BE$312,'Safeguard facility data'!$Q$4:$Q$312,$A27,'Safeguard facility data'!BE$4:BE$312,"&gt;0")</f>
        <v>573297</v>
      </c>
      <c r="F27" s="67">
        <f>SUMIFS('Safeguard facility data'!BF$4:BF$312,'Safeguard facility data'!$Q$4:$Q$312,$A27,'Safeguard facility data'!BF$4:BF$312,"&gt;0")</f>
        <v>573297</v>
      </c>
      <c r="G27" s="67">
        <f t="shared" si="1"/>
        <v>2866485</v>
      </c>
      <c r="H27" s="67"/>
      <c r="I27" s="67"/>
      <c r="J27" s="67"/>
      <c r="K27" s="67"/>
      <c r="L27" s="67"/>
      <c r="M27" s="67"/>
      <c r="N27" s="67"/>
      <c r="O27" s="67"/>
      <c r="P27" s="67"/>
      <c r="Q27" s="67"/>
      <c r="R27" s="67"/>
      <c r="S27" s="67"/>
    </row>
    <row r="28" spans="1:19">
      <c r="A28" s="54" t="s">
        <v>224</v>
      </c>
      <c r="B28" s="67">
        <f>SUMIFS('Safeguard facility data'!BB$4:BB$312,'Safeguard facility data'!$Q$4:$Q$312,$A28,'Safeguard facility data'!BB$4:BB$312,"&gt;0")</f>
        <v>511249</v>
      </c>
      <c r="C28" s="67">
        <f>SUMIFS('Safeguard facility data'!BC$4:BC$312,'Safeguard facility data'!$Q$4:$Q$312,$A28,'Safeguard facility data'!BC$4:BC$312,"&gt;0")</f>
        <v>511249</v>
      </c>
      <c r="D28" s="67">
        <f>SUMIFS('Safeguard facility data'!BD$4:BD$312,'Safeguard facility data'!$Q$4:$Q$312,$A28,'Safeguard facility data'!BD$4:BD$312,"&gt;0")</f>
        <v>569120</v>
      </c>
      <c r="E28" s="67">
        <f>SUMIFS('Safeguard facility data'!BE$4:BE$312,'Safeguard facility data'!$Q$4:$Q$312,$A28,'Safeguard facility data'!BE$4:BE$312,"&gt;0")</f>
        <v>569778</v>
      </c>
      <c r="F28" s="67">
        <f>SUMIFS('Safeguard facility data'!BF$4:BF$312,'Safeguard facility data'!$Q$4:$Q$312,$A28,'Safeguard facility data'!BF$4:BF$312,"&gt;0")</f>
        <v>569120</v>
      </c>
      <c r="G28" s="67">
        <f t="shared" si="1"/>
        <v>2730516</v>
      </c>
      <c r="H28" s="67"/>
      <c r="I28" s="67"/>
      <c r="J28" s="67"/>
      <c r="K28" s="67"/>
      <c r="L28" s="67"/>
      <c r="M28" s="67"/>
      <c r="N28" s="67"/>
      <c r="O28" s="67"/>
      <c r="P28" s="67"/>
      <c r="Q28" s="67"/>
      <c r="R28" s="67"/>
      <c r="S28" s="67"/>
    </row>
    <row r="29" spans="1:19">
      <c r="A29" s="54" t="s">
        <v>140</v>
      </c>
      <c r="B29" s="67">
        <f>SUMIFS('Safeguard facility data'!BB$4:BB$312,'Safeguard facility data'!$Q$4:$Q$312,$A29,'Safeguard facility data'!BB$4:BB$312,"&gt;0")</f>
        <v>488720</v>
      </c>
      <c r="C29" s="67">
        <f>SUMIFS('Safeguard facility data'!BC$4:BC$312,'Safeguard facility data'!$Q$4:$Q$312,$A29,'Safeguard facility data'!BC$4:BC$312,"&gt;0")</f>
        <v>488720</v>
      </c>
      <c r="D29" s="67">
        <f>SUMIFS('Safeguard facility data'!BD$4:BD$312,'Safeguard facility data'!$Q$4:$Q$312,$A29,'Safeguard facility data'!BD$4:BD$312,"&gt;0")</f>
        <v>488720</v>
      </c>
      <c r="E29" s="67">
        <f>SUMIFS('Safeguard facility data'!BE$4:BE$312,'Safeguard facility data'!$Q$4:$Q$312,$A29,'Safeguard facility data'!BE$4:BE$312,"&gt;0")</f>
        <v>488720</v>
      </c>
      <c r="F29" s="67">
        <f>SUMIFS('Safeguard facility data'!BF$4:BF$312,'Safeguard facility data'!$Q$4:$Q$312,$A29,'Safeguard facility data'!BF$4:BF$312,"&gt;0")</f>
        <v>551253</v>
      </c>
      <c r="G29" s="67">
        <f t="shared" si="1"/>
        <v>2506133</v>
      </c>
      <c r="H29" s="67"/>
      <c r="I29" s="67"/>
      <c r="J29" s="67"/>
      <c r="K29" s="67"/>
      <c r="L29" s="67"/>
      <c r="M29" s="67"/>
      <c r="N29" s="67"/>
      <c r="O29" s="67"/>
      <c r="P29" s="67"/>
      <c r="Q29" s="67"/>
      <c r="R29" s="67"/>
      <c r="S29" s="67"/>
    </row>
    <row r="30" spans="1:19">
      <c r="A30" s="54" t="s">
        <v>50</v>
      </c>
      <c r="B30" s="67">
        <f>SUMIFS('Safeguard facility data'!BB$4:BB$312,'Safeguard facility data'!$Q$4:$Q$312,$A30,'Safeguard facility data'!BB$4:BB$312,"&gt;0")</f>
        <v>379820</v>
      </c>
      <c r="C30" s="67">
        <f>SUMIFS('Safeguard facility data'!BC$4:BC$312,'Safeguard facility data'!$Q$4:$Q$312,$A30,'Safeguard facility data'!BC$4:BC$312,"&gt;0")</f>
        <v>379820</v>
      </c>
      <c r="D30" s="67">
        <f>SUMIFS('Safeguard facility data'!BD$4:BD$312,'Safeguard facility data'!$Q$4:$Q$312,$A30,'Safeguard facility data'!BD$4:BD$312,"&gt;0")</f>
        <v>379820</v>
      </c>
      <c r="E30" s="67">
        <f>SUMIFS('Safeguard facility data'!BE$4:BE$312,'Safeguard facility data'!$Q$4:$Q$312,$A30,'Safeguard facility data'!BE$4:BE$312,"&gt;0")</f>
        <v>427501</v>
      </c>
      <c r="F30" s="67">
        <f>SUMIFS('Safeguard facility data'!BF$4:BF$312,'Safeguard facility data'!$Q$4:$Q$312,$A30,'Safeguard facility data'!BF$4:BF$312,"&gt;0")</f>
        <v>503891</v>
      </c>
      <c r="G30" s="67">
        <f t="shared" si="1"/>
        <v>2070852</v>
      </c>
      <c r="H30" s="67"/>
      <c r="I30" s="67"/>
      <c r="J30" s="67"/>
      <c r="K30" s="67"/>
      <c r="L30" s="67"/>
      <c r="M30" s="67"/>
      <c r="N30" s="67"/>
      <c r="O30" s="67"/>
      <c r="P30" s="67"/>
      <c r="Q30" s="67"/>
      <c r="R30" s="67"/>
      <c r="S30" s="67"/>
    </row>
    <row r="31" spans="1:19">
      <c r="A31" s="54" t="s">
        <v>184</v>
      </c>
      <c r="B31" s="67">
        <f>SUMIFS('Safeguard facility data'!BB$4:BB$312,'Safeguard facility data'!$Q$4:$Q$312,$A31,'Safeguard facility data'!BB$4:BB$312,"&gt;0")</f>
        <v>338959</v>
      </c>
      <c r="C31" s="67">
        <f>SUMIFS('Safeguard facility data'!BC$4:BC$312,'Safeguard facility data'!$Q$4:$Q$312,$A31,'Safeguard facility data'!BC$4:BC$312,"&gt;0")</f>
        <v>338959</v>
      </c>
      <c r="D31" s="67">
        <f>SUMIFS('Safeguard facility data'!BD$4:BD$312,'Safeguard facility data'!$Q$4:$Q$312,$A31,'Safeguard facility data'!BD$4:BD$312,"&gt;0")</f>
        <v>338959</v>
      </c>
      <c r="E31" s="67">
        <f>SUMIFS('Safeguard facility data'!BE$4:BE$312,'Safeguard facility data'!$Q$4:$Q$312,$A31,'Safeguard facility data'!BE$4:BE$312,"&gt;0")</f>
        <v>477214</v>
      </c>
      <c r="F31" s="67">
        <f>SUMIFS('Safeguard facility data'!BF$4:BF$312,'Safeguard facility data'!$Q$4:$Q$312,$A31,'Safeguard facility data'!BF$4:BF$312,"&gt;0")</f>
        <v>477214</v>
      </c>
      <c r="G31" s="67">
        <f t="shared" si="1"/>
        <v>1971305</v>
      </c>
      <c r="H31" s="67"/>
      <c r="I31" s="67"/>
      <c r="J31" s="67"/>
      <c r="K31" s="67"/>
      <c r="L31" s="67"/>
      <c r="M31" s="67"/>
      <c r="N31" s="67"/>
      <c r="O31" s="67"/>
      <c r="P31" s="67"/>
      <c r="Q31" s="67"/>
      <c r="R31" s="67"/>
      <c r="S31" s="67"/>
    </row>
    <row r="32" spans="1:19">
      <c r="A32" s="54" t="s">
        <v>213</v>
      </c>
      <c r="B32" s="67">
        <f>SUMIFS('Safeguard facility data'!BB$4:BB$312,'Safeguard facility data'!$Q$4:$Q$312,$A32,'Safeguard facility data'!BB$4:BB$312,"&gt;0")</f>
        <v>364892</v>
      </c>
      <c r="C32" s="67">
        <f>SUMIFS('Safeguard facility data'!BC$4:BC$312,'Safeguard facility data'!$Q$4:$Q$312,$A32,'Safeguard facility data'!BC$4:BC$312,"&gt;0")</f>
        <v>364892</v>
      </c>
      <c r="D32" s="67">
        <f>SUMIFS('Safeguard facility data'!BD$4:BD$312,'Safeguard facility data'!$Q$4:$Q$312,$A32,'Safeguard facility data'!BD$4:BD$312,"&gt;0")</f>
        <v>364892</v>
      </c>
      <c r="E32" s="67">
        <f>SUMIFS('Safeguard facility data'!BE$4:BE$312,'Safeguard facility data'!$Q$4:$Q$312,$A32,'Safeguard facility data'!BE$4:BE$312,"&gt;0")</f>
        <v>364892</v>
      </c>
      <c r="F32" s="67">
        <f>SUMIFS('Safeguard facility data'!BF$4:BF$312,'Safeguard facility data'!$Q$4:$Q$312,$A32,'Safeguard facility data'!BF$4:BF$312,"&gt;0")</f>
        <v>394357</v>
      </c>
      <c r="G32" s="67">
        <f t="shared" si="1"/>
        <v>1853925</v>
      </c>
      <c r="H32" s="67"/>
      <c r="I32" s="67"/>
      <c r="J32" s="67"/>
      <c r="K32" s="67"/>
      <c r="L32" s="67"/>
      <c r="M32" s="67"/>
      <c r="N32" s="67"/>
      <c r="O32" s="67"/>
      <c r="P32" s="67"/>
      <c r="Q32" s="67"/>
      <c r="R32" s="67"/>
      <c r="S32" s="67"/>
    </row>
    <row r="33" spans="1:19">
      <c r="A33" s="54" t="s">
        <v>226</v>
      </c>
      <c r="B33" s="67">
        <f>SUMIFS('Safeguard facility data'!BB$4:BB$312,'Safeguard facility data'!$Q$4:$Q$312,$A33,'Safeguard facility data'!BB$4:BB$312,"&gt;0")</f>
        <v>314009</v>
      </c>
      <c r="C33" s="67">
        <f>SUMIFS('Safeguard facility data'!BC$4:BC$312,'Safeguard facility data'!$Q$4:$Q$312,$A33,'Safeguard facility data'!BC$4:BC$312,"&gt;0")</f>
        <v>314009</v>
      </c>
      <c r="D33" s="67">
        <f>SUMIFS('Safeguard facility data'!BD$4:BD$312,'Safeguard facility data'!$Q$4:$Q$312,$A33,'Safeguard facility data'!BD$4:BD$312,"&gt;0")</f>
        <v>334191</v>
      </c>
      <c r="E33" s="67">
        <f>SUMIFS('Safeguard facility data'!BE$4:BE$312,'Safeguard facility data'!$Q$4:$Q$312,$A33,'Safeguard facility data'!BE$4:BE$312,"&gt;0")</f>
        <v>353998</v>
      </c>
      <c r="F33" s="67">
        <f>SUMIFS('Safeguard facility data'!BF$4:BF$312,'Safeguard facility data'!$Q$4:$Q$312,$A33,'Safeguard facility data'!BF$4:BF$312,"&gt;0")</f>
        <v>353998</v>
      </c>
      <c r="G33" s="67">
        <f t="shared" si="1"/>
        <v>1670205</v>
      </c>
      <c r="H33" s="67"/>
      <c r="I33" s="67"/>
      <c r="J33" s="67"/>
      <c r="K33" s="67"/>
      <c r="L33" s="67"/>
      <c r="M33" s="67"/>
      <c r="N33" s="67"/>
      <c r="O33" s="67"/>
      <c r="P33" s="67"/>
      <c r="Q33" s="67"/>
      <c r="R33" s="67"/>
      <c r="S33" s="67"/>
    </row>
    <row r="34" spans="1:19">
      <c r="A34" s="54" t="s">
        <v>227</v>
      </c>
      <c r="B34" s="67">
        <f>SUMIFS('Safeguard facility data'!BB$4:BB$312,'Safeguard facility data'!$Q$4:$Q$312,$A34,'Safeguard facility data'!BB$4:BB$312,"&gt;0")</f>
        <v>277564</v>
      </c>
      <c r="C34" s="67">
        <f>SUMIFS('Safeguard facility data'!BC$4:BC$312,'Safeguard facility data'!$Q$4:$Q$312,$A34,'Safeguard facility data'!BC$4:BC$312,"&gt;0")</f>
        <v>277564</v>
      </c>
      <c r="D34" s="67">
        <f>SUMIFS('Safeguard facility data'!BD$4:BD$312,'Safeguard facility data'!$Q$4:$Q$312,$A34,'Safeguard facility data'!BD$4:BD$312,"&gt;0")</f>
        <v>277564</v>
      </c>
      <c r="E34" s="67">
        <f>SUMIFS('Safeguard facility data'!BE$4:BE$312,'Safeguard facility data'!$Q$4:$Q$312,$A34,'Safeguard facility data'!BE$4:BE$312,"&gt;0")</f>
        <v>403705</v>
      </c>
      <c r="F34" s="67">
        <f>SUMIFS('Safeguard facility data'!BF$4:BF$312,'Safeguard facility data'!$Q$4:$Q$312,$A34,'Safeguard facility data'!BF$4:BF$312,"&gt;0")</f>
        <v>403705</v>
      </c>
      <c r="G34" s="67">
        <f t="shared" ref="G34:G65" si="2">SUM(B34:F34)</f>
        <v>1640102</v>
      </c>
      <c r="H34" s="67"/>
      <c r="I34" s="67"/>
      <c r="J34" s="67"/>
      <c r="K34" s="67"/>
      <c r="L34" s="67"/>
      <c r="M34" s="67"/>
      <c r="N34" s="67"/>
      <c r="O34" s="67"/>
      <c r="P34" s="67"/>
      <c r="Q34" s="67"/>
      <c r="R34" s="67"/>
      <c r="S34" s="67"/>
    </row>
    <row r="35" spans="1:19">
      <c r="A35" s="54" t="s">
        <v>188</v>
      </c>
      <c r="B35" s="67">
        <f>SUMIFS('Safeguard facility data'!BB$4:BB$312,'Safeguard facility data'!$Q$4:$Q$312,$A35,'Safeguard facility data'!BB$4:BB$312,"&gt;0")</f>
        <v>357739</v>
      </c>
      <c r="C35" s="67">
        <f>SUMIFS('Safeguard facility data'!BC$4:BC$312,'Safeguard facility data'!$Q$4:$Q$312,$A35,'Safeguard facility data'!BC$4:BC$312,"&gt;0")</f>
        <v>357739</v>
      </c>
      <c r="D35" s="67">
        <f>SUMIFS('Safeguard facility data'!BD$4:BD$312,'Safeguard facility data'!$Q$4:$Q$312,$A35,'Safeguard facility data'!BD$4:BD$312,"&gt;0")</f>
        <v>357739</v>
      </c>
      <c r="E35" s="67">
        <f>SUMIFS('Safeguard facility data'!BE$4:BE$312,'Safeguard facility data'!$Q$4:$Q$312,$A35,'Safeguard facility data'!BE$4:BE$312,"&gt;0")</f>
        <v>94090</v>
      </c>
      <c r="F35" s="67">
        <f>SUMIFS('Safeguard facility data'!BF$4:BF$312,'Safeguard facility data'!$Q$4:$Q$312,$A35,'Safeguard facility data'!BF$4:BF$312,"&gt;0")</f>
        <v>357739</v>
      </c>
      <c r="G35" s="67">
        <f t="shared" si="2"/>
        <v>1525046</v>
      </c>
      <c r="H35" s="67"/>
      <c r="I35" s="67"/>
      <c r="J35" s="67"/>
      <c r="K35" s="67"/>
      <c r="L35" s="67"/>
      <c r="M35" s="67"/>
      <c r="N35" s="67"/>
      <c r="O35" s="67"/>
      <c r="P35" s="67"/>
      <c r="Q35" s="67"/>
      <c r="R35" s="67"/>
      <c r="S35" s="67"/>
    </row>
    <row r="36" spans="1:19">
      <c r="A36" s="54" t="s">
        <v>255</v>
      </c>
      <c r="B36" s="67">
        <f>SUMIFS('Safeguard facility data'!BB$4:BB$312,'Safeguard facility data'!$Q$4:$Q$312,$A36,'Safeguard facility data'!BB$4:BB$312,"&gt;0")</f>
        <v>145847</v>
      </c>
      <c r="C36" s="67">
        <f>SUMIFS('Safeguard facility data'!BC$4:BC$312,'Safeguard facility data'!$Q$4:$Q$312,$A36,'Safeguard facility data'!BC$4:BC$312,"&gt;0")</f>
        <v>245847</v>
      </c>
      <c r="D36" s="67">
        <f>SUMIFS('Safeguard facility data'!BD$4:BD$312,'Safeguard facility data'!$Q$4:$Q$312,$A36,'Safeguard facility data'!BD$4:BD$312,"&gt;0")</f>
        <v>269128</v>
      </c>
      <c r="E36" s="67">
        <f>SUMIFS('Safeguard facility data'!BE$4:BE$312,'Safeguard facility data'!$Q$4:$Q$312,$A36,'Safeguard facility data'!BE$4:BE$312,"&gt;0")</f>
        <v>269466</v>
      </c>
      <c r="F36" s="67">
        <f>SUMIFS('Safeguard facility data'!BF$4:BF$312,'Safeguard facility data'!$Q$4:$Q$312,$A36,'Safeguard facility data'!BF$4:BF$312,"&gt;0")</f>
        <v>277571</v>
      </c>
      <c r="G36" s="67">
        <f t="shared" si="2"/>
        <v>1207859</v>
      </c>
      <c r="H36" s="67"/>
      <c r="I36" s="67"/>
      <c r="J36" s="67"/>
      <c r="K36" s="67"/>
      <c r="L36" s="67"/>
      <c r="M36" s="67"/>
      <c r="N36" s="67"/>
      <c r="O36" s="67"/>
      <c r="P36" s="67"/>
      <c r="Q36" s="67"/>
      <c r="R36" s="67"/>
      <c r="S36" s="67"/>
    </row>
    <row r="37" spans="1:19">
      <c r="A37" s="54" t="s">
        <v>282</v>
      </c>
      <c r="B37" s="67">
        <f>SUMIFS('Safeguard facility data'!BB$4:BB$312,'Safeguard facility data'!$Q$4:$Q$312,$A37,'Safeguard facility data'!BB$4:BB$312,"&gt;0")</f>
        <v>216744</v>
      </c>
      <c r="C37" s="67">
        <f>SUMIFS('Safeguard facility data'!BC$4:BC$312,'Safeguard facility data'!$Q$4:$Q$312,$A37,'Safeguard facility data'!BC$4:BC$312,"&gt;0")</f>
        <v>216744</v>
      </c>
      <c r="D37" s="67">
        <f>SUMIFS('Safeguard facility data'!BD$4:BD$312,'Safeguard facility data'!$Q$4:$Q$312,$A37,'Safeguard facility data'!BD$4:BD$312,"&gt;0")</f>
        <v>216744</v>
      </c>
      <c r="E37" s="67">
        <f>SUMIFS('Safeguard facility data'!BE$4:BE$312,'Safeguard facility data'!$Q$4:$Q$312,$A37,'Safeguard facility data'!BE$4:BE$312,"&gt;0")</f>
        <v>216744</v>
      </c>
      <c r="F37" s="67">
        <f>SUMIFS('Safeguard facility data'!BF$4:BF$312,'Safeguard facility data'!$Q$4:$Q$312,$A37,'Safeguard facility data'!BF$4:BF$312,"&gt;0")</f>
        <v>144297</v>
      </c>
      <c r="G37" s="67">
        <f t="shared" si="2"/>
        <v>1011273</v>
      </c>
      <c r="H37" s="67"/>
      <c r="I37" s="67"/>
      <c r="J37" s="67"/>
      <c r="K37" s="67"/>
      <c r="L37" s="67"/>
      <c r="M37" s="67"/>
      <c r="N37" s="67"/>
      <c r="O37" s="67"/>
      <c r="P37" s="67"/>
      <c r="Q37" s="67"/>
      <c r="R37" s="67"/>
      <c r="S37" s="67"/>
    </row>
    <row r="38" spans="1:19">
      <c r="A38" s="54" t="s">
        <v>281</v>
      </c>
      <c r="B38" s="67">
        <f>SUMIFS('Safeguard facility data'!BB$4:BB$312,'Safeguard facility data'!$Q$4:$Q$312,$A38,'Safeguard facility data'!BB$4:BB$312,"&gt;0")</f>
        <v>159748</v>
      </c>
      <c r="C38" s="67">
        <f>SUMIFS('Safeguard facility data'!BC$4:BC$312,'Safeguard facility data'!$Q$4:$Q$312,$A38,'Safeguard facility data'!BC$4:BC$312,"&gt;0")</f>
        <v>159748</v>
      </c>
      <c r="D38" s="67">
        <f>SUMIFS('Safeguard facility data'!BD$4:BD$312,'Safeguard facility data'!$Q$4:$Q$312,$A38,'Safeguard facility data'!BD$4:BD$312,"&gt;0")</f>
        <v>159748</v>
      </c>
      <c r="E38" s="67">
        <f>SUMIFS('Safeguard facility data'!BE$4:BE$312,'Safeguard facility data'!$Q$4:$Q$312,$A38,'Safeguard facility data'!BE$4:BE$312,"&gt;0")</f>
        <v>159748</v>
      </c>
      <c r="F38" s="67">
        <f>SUMIFS('Safeguard facility data'!BF$4:BF$312,'Safeguard facility data'!$Q$4:$Q$312,$A38,'Safeguard facility data'!BF$4:BF$312,"&gt;0")</f>
        <v>159748</v>
      </c>
      <c r="G38" s="67">
        <f t="shared" si="2"/>
        <v>798740</v>
      </c>
      <c r="H38" s="67"/>
      <c r="I38" s="67"/>
      <c r="J38" s="67"/>
      <c r="K38" s="67"/>
      <c r="L38" s="67"/>
      <c r="M38" s="67"/>
      <c r="N38" s="67"/>
      <c r="O38" s="67"/>
      <c r="P38" s="67"/>
      <c r="Q38" s="67"/>
      <c r="R38" s="67"/>
      <c r="S38" s="67"/>
    </row>
    <row r="39" spans="1:19">
      <c r="A39" s="54" t="s">
        <v>283</v>
      </c>
      <c r="B39" s="67">
        <f>SUMIFS('Safeguard facility data'!BB$4:BB$312,'Safeguard facility data'!$Q$4:$Q$312,$A39,'Safeguard facility data'!BB$4:BB$312,"&gt;0")</f>
        <v>152460</v>
      </c>
      <c r="C39" s="67">
        <f>SUMIFS('Safeguard facility data'!BC$4:BC$312,'Safeguard facility data'!$Q$4:$Q$312,$A39,'Safeguard facility data'!BC$4:BC$312,"&gt;0")</f>
        <v>152460</v>
      </c>
      <c r="D39" s="67">
        <f>SUMIFS('Safeguard facility data'!BD$4:BD$312,'Safeguard facility data'!$Q$4:$Q$312,$A39,'Safeguard facility data'!BD$4:BD$312,"&gt;0")</f>
        <v>152460</v>
      </c>
      <c r="E39" s="67">
        <f>SUMIFS('Safeguard facility data'!BE$4:BE$312,'Safeguard facility data'!$Q$4:$Q$312,$A39,'Safeguard facility data'!BE$4:BE$312,"&gt;0")</f>
        <v>152878</v>
      </c>
      <c r="F39" s="67">
        <f>SUMIFS('Safeguard facility data'!BF$4:BF$312,'Safeguard facility data'!$Q$4:$Q$312,$A39,'Safeguard facility data'!BF$4:BF$312,"&gt;0")</f>
        <v>161416</v>
      </c>
      <c r="G39" s="67">
        <f t="shared" si="2"/>
        <v>771674</v>
      </c>
      <c r="H39" s="67"/>
      <c r="I39" s="67"/>
      <c r="J39" s="67"/>
      <c r="K39" s="67"/>
      <c r="L39" s="67"/>
      <c r="M39" s="67"/>
      <c r="N39" s="67"/>
      <c r="O39" s="67"/>
      <c r="P39" s="67"/>
      <c r="Q39" s="67"/>
      <c r="R39" s="67"/>
      <c r="S39" s="67"/>
    </row>
    <row r="40" spans="1:19">
      <c r="A40" s="54" t="s">
        <v>127</v>
      </c>
      <c r="B40" s="67">
        <f>SUMIFS('Safeguard facility data'!BB$4:BB$312,'Safeguard facility data'!$Q$4:$Q$312,$A40,'Safeguard facility data'!BB$4:BB$312,"&gt;0")</f>
        <v>0</v>
      </c>
      <c r="C40" s="67">
        <f>SUMIFS('Safeguard facility data'!BC$4:BC$312,'Safeguard facility data'!$Q$4:$Q$312,$A40,'Safeguard facility data'!BC$4:BC$312,"&gt;0")</f>
        <v>200</v>
      </c>
      <c r="D40" s="67">
        <f>SUMIFS('Safeguard facility data'!BD$4:BD$312,'Safeguard facility data'!$Q$4:$Q$312,$A40,'Safeguard facility data'!BD$4:BD$312,"&gt;0")</f>
        <v>252862</v>
      </c>
      <c r="E40" s="67">
        <f>SUMIFS('Safeguard facility data'!BE$4:BE$312,'Safeguard facility data'!$Q$4:$Q$312,$A40,'Safeguard facility data'!BE$4:BE$312,"&gt;0")</f>
        <v>252862</v>
      </c>
      <c r="F40" s="67">
        <f>SUMIFS('Safeguard facility data'!BF$4:BF$312,'Safeguard facility data'!$Q$4:$Q$312,$A40,'Safeguard facility data'!BF$4:BF$312,"&gt;0")</f>
        <v>252862</v>
      </c>
      <c r="G40" s="67">
        <f t="shared" si="2"/>
        <v>758786</v>
      </c>
      <c r="H40" s="67"/>
      <c r="I40" s="67"/>
      <c r="J40" s="67"/>
      <c r="K40" s="67"/>
      <c r="L40" s="67"/>
      <c r="M40" s="67"/>
      <c r="N40" s="67"/>
      <c r="O40" s="67"/>
      <c r="P40" s="67"/>
      <c r="Q40" s="67"/>
      <c r="R40" s="67"/>
      <c r="S40" s="67"/>
    </row>
    <row r="41" spans="1:19">
      <c r="A41" s="54" t="s">
        <v>279</v>
      </c>
      <c r="B41" s="67">
        <f>SUMIFS('Safeguard facility data'!BB$4:BB$312,'Safeguard facility data'!$Q$4:$Q$312,$A41,'Safeguard facility data'!BB$4:BB$312,"&gt;0")</f>
        <v>128474</v>
      </c>
      <c r="C41" s="67">
        <f>SUMIFS('Safeguard facility data'!BC$4:BC$312,'Safeguard facility data'!$Q$4:$Q$312,$A41,'Safeguard facility data'!BC$4:BC$312,"&gt;0")</f>
        <v>128474</v>
      </c>
      <c r="D41" s="67">
        <f>SUMIFS('Safeguard facility data'!BD$4:BD$312,'Safeguard facility data'!$Q$4:$Q$312,$A41,'Safeguard facility data'!BD$4:BD$312,"&gt;0")</f>
        <v>128474</v>
      </c>
      <c r="E41" s="67">
        <f>SUMIFS('Safeguard facility data'!BE$4:BE$312,'Safeguard facility data'!$Q$4:$Q$312,$A41,'Safeguard facility data'!BE$4:BE$312,"&gt;0")</f>
        <v>128474</v>
      </c>
      <c r="F41" s="67">
        <f>SUMIFS('Safeguard facility data'!BF$4:BF$312,'Safeguard facility data'!$Q$4:$Q$312,$A41,'Safeguard facility data'!BF$4:BF$312,"&gt;0")</f>
        <v>140686</v>
      </c>
      <c r="G41" s="67">
        <f t="shared" si="2"/>
        <v>654582</v>
      </c>
      <c r="H41" s="67"/>
      <c r="I41" s="67"/>
      <c r="J41" s="67"/>
      <c r="K41" s="67"/>
      <c r="L41" s="67"/>
      <c r="M41" s="67"/>
      <c r="N41" s="67"/>
      <c r="O41" s="67"/>
      <c r="P41" s="67"/>
      <c r="Q41" s="67"/>
      <c r="R41" s="67"/>
      <c r="S41" s="67"/>
    </row>
    <row r="42" spans="1:19">
      <c r="A42" s="54" t="s">
        <v>51</v>
      </c>
      <c r="B42" s="67">
        <f>SUMIFS('Safeguard facility data'!BB$4:BB$312,'Safeguard facility data'!$Q$4:$Q$312,$A42,'Safeguard facility data'!BB$4:BB$312,"&gt;0")</f>
        <v>106831</v>
      </c>
      <c r="C42" s="67">
        <f>SUMIFS('Safeguard facility data'!BC$4:BC$312,'Safeguard facility data'!$Q$4:$Q$312,$A42,'Safeguard facility data'!BC$4:BC$312,"&gt;0")</f>
        <v>106831</v>
      </c>
      <c r="D42" s="67">
        <f>SUMIFS('Safeguard facility data'!BD$4:BD$312,'Safeguard facility data'!$Q$4:$Q$312,$A42,'Safeguard facility data'!BD$4:BD$312,"&gt;0")</f>
        <v>106831</v>
      </c>
      <c r="E42" s="67">
        <f>SUMIFS('Safeguard facility data'!BE$4:BE$312,'Safeguard facility data'!$Q$4:$Q$312,$A42,'Safeguard facility data'!BE$4:BE$312,"&gt;0")</f>
        <v>106831</v>
      </c>
      <c r="F42" s="67">
        <f>SUMIFS('Safeguard facility data'!BF$4:BF$312,'Safeguard facility data'!$Q$4:$Q$312,$A42,'Safeguard facility data'!BF$4:BF$312,"&gt;0")</f>
        <v>106831</v>
      </c>
      <c r="G42" s="67">
        <f t="shared" si="2"/>
        <v>534155</v>
      </c>
      <c r="H42" s="67"/>
      <c r="I42" s="67"/>
      <c r="J42" s="67"/>
      <c r="K42" s="67"/>
      <c r="L42" s="67"/>
      <c r="M42" s="67"/>
      <c r="N42" s="67"/>
      <c r="O42" s="67"/>
      <c r="P42" s="67"/>
      <c r="Q42" s="67"/>
      <c r="R42" s="67"/>
      <c r="S42" s="67"/>
    </row>
    <row r="43" spans="1:19">
      <c r="A43" s="54" t="s">
        <v>116</v>
      </c>
      <c r="B43" s="67">
        <f>SUMIFS('Safeguard facility data'!BB$4:BB$312,'Safeguard facility data'!$Q$4:$Q$312,$A43,'Safeguard facility data'!BB$4:BB$312,"&gt;0")</f>
        <v>100000</v>
      </c>
      <c r="C43" s="67">
        <f>SUMIFS('Safeguard facility data'!BC$4:BC$312,'Safeguard facility data'!$Q$4:$Q$312,$A43,'Safeguard facility data'!BC$4:BC$312,"&gt;0")</f>
        <v>100000</v>
      </c>
      <c r="D43" s="67">
        <f>SUMIFS('Safeguard facility data'!BD$4:BD$312,'Safeguard facility data'!$Q$4:$Q$312,$A43,'Safeguard facility data'!BD$4:BD$312,"&gt;0")</f>
        <v>100000</v>
      </c>
      <c r="E43" s="67">
        <f>SUMIFS('Safeguard facility data'!BE$4:BE$312,'Safeguard facility data'!$Q$4:$Q$312,$A43,'Safeguard facility data'!BE$4:BE$312,"&gt;0")</f>
        <v>100000</v>
      </c>
      <c r="F43" s="67">
        <f>SUMIFS('Safeguard facility data'!BF$4:BF$312,'Safeguard facility data'!$Q$4:$Q$312,$A43,'Safeguard facility data'!BF$4:BF$312,"&gt;0")</f>
        <v>100000</v>
      </c>
      <c r="G43" s="67">
        <f t="shared" si="2"/>
        <v>500000</v>
      </c>
      <c r="H43" s="67"/>
      <c r="I43" s="67"/>
      <c r="J43" s="67"/>
      <c r="K43" s="67"/>
      <c r="L43" s="67"/>
      <c r="M43" s="67"/>
      <c r="N43" s="67"/>
      <c r="O43" s="67"/>
      <c r="P43" s="67"/>
      <c r="Q43" s="67"/>
      <c r="R43" s="67"/>
      <c r="S43" s="67"/>
    </row>
    <row r="44" spans="1:19">
      <c r="A44" s="54" t="s">
        <v>163</v>
      </c>
      <c r="B44" s="67">
        <f>SUMIFS('Safeguard facility data'!BB$4:BB$312,'Safeguard facility data'!$Q$4:$Q$312,$A44,'Safeguard facility data'!BB$4:BB$312,"&gt;0")</f>
        <v>0</v>
      </c>
      <c r="C44" s="67">
        <f>SUMIFS('Safeguard facility data'!BC$4:BC$312,'Safeguard facility data'!$Q$4:$Q$312,$A44,'Safeguard facility data'!BC$4:BC$312,"&gt;0")</f>
        <v>0</v>
      </c>
      <c r="D44" s="67">
        <f>SUMIFS('Safeguard facility data'!BD$4:BD$312,'Safeguard facility data'!$Q$4:$Q$312,$A44,'Safeguard facility data'!BD$4:BD$312,"&gt;0")</f>
        <v>0</v>
      </c>
      <c r="E44" s="67">
        <f>SUMIFS('Safeguard facility data'!BE$4:BE$312,'Safeguard facility data'!$Q$4:$Q$312,$A44,'Safeguard facility data'!BE$4:BE$312,"&gt;0")</f>
        <v>100549</v>
      </c>
      <c r="F44" s="67">
        <f>SUMIFS('Safeguard facility data'!BF$4:BF$312,'Safeguard facility data'!$Q$4:$Q$312,$A44,'Safeguard facility data'!BF$4:BF$312,"&gt;0")</f>
        <v>100000</v>
      </c>
      <c r="G44" s="67">
        <f t="shared" si="2"/>
        <v>200549</v>
      </c>
      <c r="H44" s="67"/>
      <c r="I44" s="67"/>
      <c r="J44" s="67"/>
      <c r="K44" s="67"/>
      <c r="L44" s="67"/>
      <c r="M44" s="67"/>
      <c r="N44" s="67"/>
      <c r="O44" s="67"/>
      <c r="P44" s="67"/>
      <c r="Q44" s="67"/>
      <c r="R44" s="67"/>
      <c r="S44" s="67"/>
    </row>
    <row r="45" spans="1:19">
      <c r="A45" s="54" t="s">
        <v>230</v>
      </c>
      <c r="B45" s="67">
        <f>SUMIFS('Safeguard facility data'!BB$4:BB$312,'Safeguard facility data'!$Q$4:$Q$312,$A45,'Safeguard facility data'!BB$4:BB$312,"&gt;0")</f>
        <v>0</v>
      </c>
      <c r="C45" s="67">
        <f>SUMIFS('Safeguard facility data'!BC$4:BC$312,'Safeguard facility data'!$Q$4:$Q$312,$A45,'Safeguard facility data'!BC$4:BC$312,"&gt;0")</f>
        <v>0</v>
      </c>
      <c r="D45" s="67">
        <f>SUMIFS('Safeguard facility data'!BD$4:BD$312,'Safeguard facility data'!$Q$4:$Q$312,$A45,'Safeguard facility data'!BD$4:BD$312,"&gt;0")</f>
        <v>0</v>
      </c>
      <c r="E45" s="67">
        <f>SUMIFS('Safeguard facility data'!BE$4:BE$312,'Safeguard facility data'!$Q$4:$Q$312,$A45,'Safeguard facility data'!BE$4:BE$312,"&gt;0")</f>
        <v>0</v>
      </c>
      <c r="F45" s="67">
        <f>SUMIFS('Safeguard facility data'!BF$4:BF$312,'Safeguard facility data'!$Q$4:$Q$312,$A45,'Safeguard facility data'!BF$4:BF$312,"&gt;0")</f>
        <v>0</v>
      </c>
      <c r="G45" s="67">
        <f t="shared" si="2"/>
        <v>0</v>
      </c>
      <c r="H45" s="67"/>
      <c r="I45" s="67"/>
      <c r="J45" s="67"/>
      <c r="K45" s="67"/>
      <c r="L45" s="67"/>
      <c r="M45" s="67"/>
      <c r="N45" s="67"/>
      <c r="O45" s="67"/>
      <c r="P45" s="67"/>
      <c r="Q45" s="67"/>
      <c r="R45" s="67"/>
      <c r="S45" s="67"/>
    </row>
    <row r="46" spans="1:19">
      <c r="A46" s="54" t="s">
        <v>135</v>
      </c>
      <c r="B46" s="67">
        <f>SUMIFS('Safeguard facility data'!BB$4:BB$312,'Safeguard facility data'!$Q$4:$Q$312,$A46,'Safeguard facility data'!BB$4:BB$312,"&gt;0")</f>
        <v>0</v>
      </c>
      <c r="C46" s="67">
        <f>SUMIFS('Safeguard facility data'!BC$4:BC$312,'Safeguard facility data'!$Q$4:$Q$312,$A46,'Safeguard facility data'!BC$4:BC$312,"&gt;0")</f>
        <v>0</v>
      </c>
      <c r="D46" s="67">
        <f>SUMIFS('Safeguard facility data'!BD$4:BD$312,'Safeguard facility data'!$Q$4:$Q$312,$A46,'Safeguard facility data'!BD$4:BD$312,"&gt;0")</f>
        <v>0</v>
      </c>
      <c r="E46" s="67">
        <f>SUMIFS('Safeguard facility data'!BE$4:BE$312,'Safeguard facility data'!$Q$4:$Q$312,$A46,'Safeguard facility data'!BE$4:BE$312,"&gt;0")</f>
        <v>0</v>
      </c>
      <c r="F46" s="67">
        <f>SUMIFS('Safeguard facility data'!BF$4:BF$312,'Safeguard facility data'!$Q$4:$Q$312,$A46,'Safeguard facility data'!BF$4:BF$312,"&gt;0")</f>
        <v>0</v>
      </c>
      <c r="G46" s="67">
        <f t="shared" si="2"/>
        <v>0</v>
      </c>
      <c r="H46" s="67"/>
      <c r="I46" s="67"/>
      <c r="J46" s="67"/>
      <c r="K46" s="67"/>
      <c r="L46" s="67"/>
      <c r="M46" s="67"/>
      <c r="N46" s="67"/>
      <c r="O46" s="67"/>
      <c r="P46" s="67"/>
      <c r="Q46" s="67"/>
      <c r="R46" s="67"/>
      <c r="S46" s="67"/>
    </row>
    <row r="47" spans="1:19">
      <c r="A47" s="54" t="s">
        <v>273</v>
      </c>
      <c r="B47" s="67">
        <f>SUMIFS('Safeguard facility data'!BB$4:BB$312,'Safeguard facility data'!$Q$4:$Q$312,$A47,'Safeguard facility data'!BB$4:BB$312,"&gt;0")</f>
        <v>0</v>
      </c>
      <c r="C47" s="67">
        <f>SUMIFS('Safeguard facility data'!BC$4:BC$312,'Safeguard facility data'!$Q$4:$Q$312,$A47,'Safeguard facility data'!BC$4:BC$312,"&gt;0")</f>
        <v>0</v>
      </c>
      <c r="D47" s="67">
        <f>SUMIFS('Safeguard facility data'!BD$4:BD$312,'Safeguard facility data'!$Q$4:$Q$312,$A47,'Safeguard facility data'!BD$4:BD$312,"&gt;0")</f>
        <v>0</v>
      </c>
      <c r="E47" s="67">
        <f>SUMIFS('Safeguard facility data'!BE$4:BE$312,'Safeguard facility data'!$Q$4:$Q$312,$A47,'Safeguard facility data'!BE$4:BE$312,"&gt;0")</f>
        <v>0</v>
      </c>
      <c r="F47" s="67">
        <f>SUMIFS('Safeguard facility data'!BF$4:BF$312,'Safeguard facility data'!$Q$4:$Q$312,$A47,'Safeguard facility data'!BF$4:BF$312,"&gt;0")</f>
        <v>0</v>
      </c>
      <c r="G47" s="67">
        <f t="shared" si="2"/>
        <v>0</v>
      </c>
      <c r="H47" s="67"/>
      <c r="I47" s="67"/>
      <c r="J47" s="67"/>
      <c r="K47" s="67"/>
      <c r="L47" s="67"/>
      <c r="M47" s="67"/>
      <c r="N47" s="67"/>
      <c r="O47" s="67"/>
      <c r="P47" s="67"/>
      <c r="Q47" s="67"/>
      <c r="R47" s="67"/>
      <c r="S47" s="67"/>
    </row>
    <row r="48" spans="1:19">
      <c r="A48" s="54" t="s">
        <v>28</v>
      </c>
      <c r="B48" s="67">
        <f>SUMIFS('Safeguard facility data'!BB$4:BB$312,'Safeguard facility data'!$Q$4:$Q$312,$A48,'Safeguard facility data'!BB$4:BB$312,"&gt;0")</f>
        <v>0</v>
      </c>
      <c r="C48" s="67">
        <f>SUMIFS('Safeguard facility data'!BC$4:BC$312,'Safeguard facility data'!$Q$4:$Q$312,$A48,'Safeguard facility data'!BC$4:BC$312,"&gt;0")</f>
        <v>0</v>
      </c>
      <c r="D48" s="67">
        <f>SUMIFS('Safeguard facility data'!BD$4:BD$312,'Safeguard facility data'!$Q$4:$Q$312,$A48,'Safeguard facility data'!BD$4:BD$312,"&gt;0")</f>
        <v>0</v>
      </c>
      <c r="E48" s="67">
        <f>SUMIFS('Safeguard facility data'!BE$4:BE$312,'Safeguard facility data'!$Q$4:$Q$312,$A48,'Safeguard facility data'!BE$4:BE$312,"&gt;0")</f>
        <v>0</v>
      </c>
      <c r="F48" s="67">
        <f>SUMIFS('Safeguard facility data'!BF$4:BF$312,'Safeguard facility data'!$Q$4:$Q$312,$A48,'Safeguard facility data'!BF$4:BF$312,"&gt;0")</f>
        <v>0</v>
      </c>
      <c r="G48" s="67">
        <f t="shared" si="2"/>
        <v>0</v>
      </c>
      <c r="H48" s="67"/>
      <c r="I48" s="67"/>
      <c r="J48" s="67"/>
      <c r="K48" s="67"/>
      <c r="L48" s="67"/>
      <c r="M48" s="67"/>
      <c r="N48" s="67"/>
      <c r="O48" s="67"/>
      <c r="P48" s="67"/>
      <c r="Q48" s="67"/>
      <c r="R48" s="67"/>
      <c r="S48" s="67"/>
    </row>
    <row r="49" spans="1:19">
      <c r="A49" s="54" t="s">
        <v>88</v>
      </c>
      <c r="B49" s="67">
        <f>SUMIFS('Safeguard facility data'!BB$4:BB$312,'Safeguard facility data'!$Q$4:$Q$312,$A49,'Safeguard facility data'!BB$4:BB$312,"&gt;0")</f>
        <v>0</v>
      </c>
      <c r="C49" s="67">
        <f>SUMIFS('Safeguard facility data'!BC$4:BC$312,'Safeguard facility data'!$Q$4:$Q$312,$A49,'Safeguard facility data'!BC$4:BC$312,"&gt;0")</f>
        <v>0</v>
      </c>
      <c r="D49" s="67">
        <f>SUMIFS('Safeguard facility data'!BD$4:BD$312,'Safeguard facility data'!$Q$4:$Q$312,$A49,'Safeguard facility data'!BD$4:BD$312,"&gt;0")</f>
        <v>0</v>
      </c>
      <c r="E49" s="67">
        <f>SUMIFS('Safeguard facility data'!BE$4:BE$312,'Safeguard facility data'!$Q$4:$Q$312,$A49,'Safeguard facility data'!BE$4:BE$312,"&gt;0")</f>
        <v>0</v>
      </c>
      <c r="F49" s="67">
        <f>SUMIFS('Safeguard facility data'!BF$4:BF$312,'Safeguard facility data'!$Q$4:$Q$312,$A49,'Safeguard facility data'!BF$4:BF$312,"&gt;0")</f>
        <v>0</v>
      </c>
      <c r="G49" s="67">
        <f t="shared" si="2"/>
        <v>0</v>
      </c>
      <c r="H49" s="67"/>
      <c r="I49" s="67"/>
      <c r="J49" s="67"/>
      <c r="K49" s="67"/>
      <c r="L49" s="67"/>
      <c r="M49" s="67"/>
      <c r="N49" s="67"/>
      <c r="O49" s="67"/>
      <c r="P49" s="67"/>
      <c r="Q49" s="67"/>
      <c r="R49" s="67"/>
      <c r="S49" s="67"/>
    </row>
    <row r="50" spans="1:19">
      <c r="A50" s="54" t="s">
        <v>91</v>
      </c>
      <c r="B50" s="67">
        <f>SUMIFS('Safeguard facility data'!BB$4:BB$312,'Safeguard facility data'!$Q$4:$Q$312,$A50,'Safeguard facility data'!BB$4:BB$312,"&gt;0")</f>
        <v>0</v>
      </c>
      <c r="C50" s="67">
        <f>SUMIFS('Safeguard facility data'!BC$4:BC$312,'Safeguard facility data'!$Q$4:$Q$312,$A50,'Safeguard facility data'!BC$4:BC$312,"&gt;0")</f>
        <v>0</v>
      </c>
      <c r="D50" s="67">
        <f>SUMIFS('Safeguard facility data'!BD$4:BD$312,'Safeguard facility data'!$Q$4:$Q$312,$A50,'Safeguard facility data'!BD$4:BD$312,"&gt;0")</f>
        <v>0</v>
      </c>
      <c r="E50" s="67">
        <f>SUMIFS('Safeguard facility data'!BE$4:BE$312,'Safeguard facility data'!$Q$4:$Q$312,$A50,'Safeguard facility data'!BE$4:BE$312,"&gt;0")</f>
        <v>0</v>
      </c>
      <c r="F50" s="67">
        <f>SUMIFS('Safeguard facility data'!BF$4:BF$312,'Safeguard facility data'!$Q$4:$Q$312,$A50,'Safeguard facility data'!BF$4:BF$312,"&gt;0")</f>
        <v>0</v>
      </c>
      <c r="G50" s="67">
        <f t="shared" si="2"/>
        <v>0</v>
      </c>
      <c r="H50" s="67"/>
      <c r="I50" s="67"/>
      <c r="J50" s="67"/>
      <c r="K50" s="67"/>
      <c r="L50" s="67"/>
      <c r="M50" s="67"/>
      <c r="N50" s="67"/>
      <c r="O50" s="67"/>
      <c r="P50" s="67"/>
      <c r="Q50" s="67"/>
      <c r="R50" s="67"/>
      <c r="S50" s="67"/>
    </row>
    <row r="51" spans="1:19">
      <c r="A51" s="54" t="s">
        <v>141</v>
      </c>
      <c r="B51" s="67">
        <f>SUMIFS('Safeguard facility data'!BB$4:BB$312,'Safeguard facility data'!$Q$4:$Q$312,$A51,'Safeguard facility data'!BB$4:BB$312,"&gt;0")</f>
        <v>0</v>
      </c>
      <c r="C51" s="67">
        <f>SUMIFS('Safeguard facility data'!BC$4:BC$312,'Safeguard facility data'!$Q$4:$Q$312,$A51,'Safeguard facility data'!BC$4:BC$312,"&gt;0")</f>
        <v>0</v>
      </c>
      <c r="D51" s="67">
        <f>SUMIFS('Safeguard facility data'!BD$4:BD$312,'Safeguard facility data'!$Q$4:$Q$312,$A51,'Safeguard facility data'!BD$4:BD$312,"&gt;0")</f>
        <v>0</v>
      </c>
      <c r="E51" s="67">
        <f>SUMIFS('Safeguard facility data'!BE$4:BE$312,'Safeguard facility data'!$Q$4:$Q$312,$A51,'Safeguard facility data'!BE$4:BE$312,"&gt;0")</f>
        <v>0</v>
      </c>
      <c r="F51" s="67">
        <f>SUMIFS('Safeguard facility data'!BF$4:BF$312,'Safeguard facility data'!$Q$4:$Q$312,$A51,'Safeguard facility data'!BF$4:BF$312,"&gt;0")</f>
        <v>0</v>
      </c>
      <c r="G51" s="67">
        <f t="shared" si="2"/>
        <v>0</v>
      </c>
      <c r="H51" s="67"/>
      <c r="I51" s="67"/>
      <c r="J51" s="67"/>
      <c r="K51" s="67"/>
      <c r="L51" s="67"/>
      <c r="M51" s="67"/>
      <c r="N51" s="67"/>
      <c r="O51" s="67"/>
      <c r="P51" s="67"/>
      <c r="Q51" s="67"/>
      <c r="R51" s="67"/>
      <c r="S51" s="67"/>
    </row>
    <row r="52" spans="1:19">
      <c r="A52" s="54" t="s">
        <v>142</v>
      </c>
      <c r="B52" s="67">
        <f>SUMIFS('Safeguard facility data'!BB$4:BB$312,'Safeguard facility data'!$Q$4:$Q$312,$A52,'Safeguard facility data'!BB$4:BB$312,"&gt;0")</f>
        <v>0</v>
      </c>
      <c r="C52" s="67">
        <f>SUMIFS('Safeguard facility data'!BC$4:BC$312,'Safeguard facility data'!$Q$4:$Q$312,$A52,'Safeguard facility data'!BC$4:BC$312,"&gt;0")</f>
        <v>0</v>
      </c>
      <c r="D52" s="67">
        <f>SUMIFS('Safeguard facility data'!BD$4:BD$312,'Safeguard facility data'!$Q$4:$Q$312,$A52,'Safeguard facility data'!BD$4:BD$312,"&gt;0")</f>
        <v>0</v>
      </c>
      <c r="E52" s="67">
        <f>SUMIFS('Safeguard facility data'!BE$4:BE$312,'Safeguard facility data'!$Q$4:$Q$312,$A52,'Safeguard facility data'!BE$4:BE$312,"&gt;0")</f>
        <v>0</v>
      </c>
      <c r="F52" s="67">
        <f>SUMIFS('Safeguard facility data'!BF$4:BF$312,'Safeguard facility data'!$Q$4:$Q$312,$A52,'Safeguard facility data'!BF$4:BF$312,"&gt;0")</f>
        <v>0</v>
      </c>
      <c r="G52" s="67">
        <f t="shared" si="2"/>
        <v>0</v>
      </c>
      <c r="H52" s="67"/>
      <c r="I52" s="67"/>
      <c r="J52" s="67"/>
      <c r="K52" s="67"/>
      <c r="L52" s="67"/>
      <c r="M52" s="67"/>
      <c r="N52" s="67"/>
      <c r="O52" s="67"/>
      <c r="P52" s="67"/>
      <c r="Q52" s="67"/>
      <c r="R52" s="67"/>
      <c r="S52" s="67"/>
    </row>
    <row r="53" spans="1:19">
      <c r="A53" s="54" t="s">
        <v>231</v>
      </c>
      <c r="B53" s="67">
        <f>SUMIFS('Safeguard facility data'!BB$4:BB$312,'Safeguard facility data'!$Q$4:$Q$312,$A53,'Safeguard facility data'!BB$4:BB$312,"&gt;0")</f>
        <v>0</v>
      </c>
      <c r="C53" s="67">
        <f>SUMIFS('Safeguard facility data'!BC$4:BC$312,'Safeguard facility data'!$Q$4:$Q$312,$A53,'Safeguard facility data'!BC$4:BC$312,"&gt;0")</f>
        <v>0</v>
      </c>
      <c r="D53" s="67">
        <f>SUMIFS('Safeguard facility data'!BD$4:BD$312,'Safeguard facility data'!$Q$4:$Q$312,$A53,'Safeguard facility data'!BD$4:BD$312,"&gt;0")</f>
        <v>0</v>
      </c>
      <c r="E53" s="67">
        <f>SUMIFS('Safeguard facility data'!BE$4:BE$312,'Safeguard facility data'!$Q$4:$Q$312,$A53,'Safeguard facility data'!BE$4:BE$312,"&gt;0")</f>
        <v>0</v>
      </c>
      <c r="F53" s="67">
        <f>SUMIFS('Safeguard facility data'!BF$4:BF$312,'Safeguard facility data'!$Q$4:$Q$312,$A53,'Safeguard facility data'!BF$4:BF$312,"&gt;0")</f>
        <v>0</v>
      </c>
      <c r="G53" s="67">
        <f t="shared" si="2"/>
        <v>0</v>
      </c>
      <c r="H53" s="67"/>
      <c r="I53" s="67"/>
      <c r="J53" s="67"/>
      <c r="K53" s="67"/>
      <c r="L53" s="67"/>
      <c r="M53" s="67"/>
      <c r="N53" s="67"/>
      <c r="O53" s="67"/>
      <c r="P53" s="67"/>
      <c r="Q53" s="67"/>
      <c r="R53" s="67"/>
      <c r="S53" s="67"/>
    </row>
    <row r="54" spans="1:19">
      <c r="A54" s="54" t="s">
        <v>143</v>
      </c>
      <c r="B54" s="67">
        <f>SUMIFS('Safeguard facility data'!BB$4:BB$312,'Safeguard facility data'!$Q$4:$Q$312,$A54,'Safeguard facility data'!BB$4:BB$312,"&gt;0")</f>
        <v>0</v>
      </c>
      <c r="C54" s="67">
        <f>SUMIFS('Safeguard facility data'!BC$4:BC$312,'Safeguard facility data'!$Q$4:$Q$312,$A54,'Safeguard facility data'!BC$4:BC$312,"&gt;0")</f>
        <v>0</v>
      </c>
      <c r="D54" s="67">
        <f>SUMIFS('Safeguard facility data'!BD$4:BD$312,'Safeguard facility data'!$Q$4:$Q$312,$A54,'Safeguard facility data'!BD$4:BD$312,"&gt;0")</f>
        <v>0</v>
      </c>
      <c r="E54" s="67">
        <f>SUMIFS('Safeguard facility data'!BE$4:BE$312,'Safeguard facility data'!$Q$4:$Q$312,$A54,'Safeguard facility data'!BE$4:BE$312,"&gt;0")</f>
        <v>0</v>
      </c>
      <c r="F54" s="67">
        <f>SUMIFS('Safeguard facility data'!BF$4:BF$312,'Safeguard facility data'!$Q$4:$Q$312,$A54,'Safeguard facility data'!BF$4:BF$312,"&gt;0")</f>
        <v>0</v>
      </c>
      <c r="G54" s="67">
        <f t="shared" si="2"/>
        <v>0</v>
      </c>
      <c r="H54" s="67"/>
      <c r="I54" s="67"/>
      <c r="J54" s="67"/>
      <c r="K54" s="67"/>
      <c r="L54" s="67"/>
      <c r="M54" s="67"/>
      <c r="N54" s="67"/>
      <c r="O54" s="67"/>
      <c r="P54" s="67"/>
      <c r="Q54" s="67"/>
      <c r="R54" s="67"/>
      <c r="S54" s="67"/>
    </row>
    <row r="55" spans="1:19">
      <c r="A55" s="54" t="s">
        <v>144</v>
      </c>
      <c r="B55" s="67">
        <f>SUMIFS('Safeguard facility data'!BB$4:BB$312,'Safeguard facility data'!$Q$4:$Q$312,$A55,'Safeguard facility data'!BB$4:BB$312,"&gt;0")</f>
        <v>0</v>
      </c>
      <c r="C55" s="67">
        <f>SUMIFS('Safeguard facility data'!BC$4:BC$312,'Safeguard facility data'!$Q$4:$Q$312,$A55,'Safeguard facility data'!BC$4:BC$312,"&gt;0")</f>
        <v>0</v>
      </c>
      <c r="D55" s="67">
        <f>SUMIFS('Safeguard facility data'!BD$4:BD$312,'Safeguard facility data'!$Q$4:$Q$312,$A55,'Safeguard facility data'!BD$4:BD$312,"&gt;0")</f>
        <v>0</v>
      </c>
      <c r="E55" s="67">
        <f>SUMIFS('Safeguard facility data'!BE$4:BE$312,'Safeguard facility data'!$Q$4:$Q$312,$A55,'Safeguard facility data'!BE$4:BE$312,"&gt;0")</f>
        <v>0</v>
      </c>
      <c r="F55" s="67">
        <f>SUMIFS('Safeguard facility data'!BF$4:BF$312,'Safeguard facility data'!$Q$4:$Q$312,$A55,'Safeguard facility data'!BF$4:BF$312,"&gt;0")</f>
        <v>0</v>
      </c>
      <c r="G55" s="67">
        <f t="shared" si="2"/>
        <v>0</v>
      </c>
      <c r="H55" s="67"/>
      <c r="I55" s="67"/>
      <c r="J55" s="67"/>
      <c r="K55" s="67"/>
      <c r="L55" s="67"/>
      <c r="M55" s="67"/>
      <c r="N55" s="67"/>
      <c r="O55" s="67"/>
      <c r="P55" s="67"/>
      <c r="Q55" s="67"/>
      <c r="R55" s="67"/>
      <c r="S55" s="67"/>
    </row>
    <row r="56" spans="1:19">
      <c r="A56" s="54" t="s">
        <v>145</v>
      </c>
      <c r="B56" s="67">
        <f>SUMIFS('Safeguard facility data'!BB$4:BB$312,'Safeguard facility data'!$Q$4:$Q$312,$A56,'Safeguard facility data'!BB$4:BB$312,"&gt;0")</f>
        <v>0</v>
      </c>
      <c r="C56" s="67">
        <f>SUMIFS('Safeguard facility data'!BC$4:BC$312,'Safeguard facility data'!$Q$4:$Q$312,$A56,'Safeguard facility data'!BC$4:BC$312,"&gt;0")</f>
        <v>0</v>
      </c>
      <c r="D56" s="67">
        <f>SUMIFS('Safeguard facility data'!BD$4:BD$312,'Safeguard facility data'!$Q$4:$Q$312,$A56,'Safeguard facility data'!BD$4:BD$312,"&gt;0")</f>
        <v>0</v>
      </c>
      <c r="E56" s="67">
        <f>SUMIFS('Safeguard facility data'!BE$4:BE$312,'Safeguard facility data'!$Q$4:$Q$312,$A56,'Safeguard facility data'!BE$4:BE$312,"&gt;0")</f>
        <v>0</v>
      </c>
      <c r="F56" s="67">
        <f>SUMIFS('Safeguard facility data'!BF$4:BF$312,'Safeguard facility data'!$Q$4:$Q$312,$A56,'Safeguard facility data'!BF$4:BF$312,"&gt;0")</f>
        <v>0</v>
      </c>
      <c r="G56" s="67">
        <f t="shared" si="2"/>
        <v>0</v>
      </c>
      <c r="H56" s="67"/>
      <c r="I56" s="67"/>
      <c r="J56" s="67"/>
      <c r="K56" s="67"/>
      <c r="L56" s="67"/>
      <c r="M56" s="67"/>
      <c r="N56" s="67"/>
      <c r="O56" s="67"/>
      <c r="P56" s="67"/>
      <c r="Q56" s="67"/>
      <c r="R56" s="67"/>
      <c r="S56" s="67"/>
    </row>
    <row r="57" spans="1:19">
      <c r="A57" s="54" t="s">
        <v>232</v>
      </c>
      <c r="B57" s="67">
        <f>SUMIFS('Safeguard facility data'!BB$4:BB$312,'Safeguard facility data'!$Q$4:$Q$312,$A57,'Safeguard facility data'!BB$4:BB$312,"&gt;0")</f>
        <v>0</v>
      </c>
      <c r="C57" s="67">
        <f>SUMIFS('Safeguard facility data'!BC$4:BC$312,'Safeguard facility data'!$Q$4:$Q$312,$A57,'Safeguard facility data'!BC$4:BC$312,"&gt;0")</f>
        <v>0</v>
      </c>
      <c r="D57" s="67">
        <f>SUMIFS('Safeguard facility data'!BD$4:BD$312,'Safeguard facility data'!$Q$4:$Q$312,$A57,'Safeguard facility data'!BD$4:BD$312,"&gt;0")</f>
        <v>0</v>
      </c>
      <c r="E57" s="67">
        <f>SUMIFS('Safeguard facility data'!BE$4:BE$312,'Safeguard facility data'!$Q$4:$Q$312,$A57,'Safeguard facility data'!BE$4:BE$312,"&gt;0")</f>
        <v>0</v>
      </c>
      <c r="F57" s="67">
        <f>SUMIFS('Safeguard facility data'!BF$4:BF$312,'Safeguard facility data'!$Q$4:$Q$312,$A57,'Safeguard facility data'!BF$4:BF$312,"&gt;0")</f>
        <v>0</v>
      </c>
      <c r="G57" s="67">
        <f t="shared" si="2"/>
        <v>0</v>
      </c>
      <c r="H57" s="67"/>
      <c r="I57" s="67"/>
      <c r="J57" s="67"/>
      <c r="K57" s="67"/>
      <c r="L57" s="67"/>
      <c r="M57" s="67"/>
      <c r="N57" s="67"/>
      <c r="O57" s="67"/>
      <c r="P57" s="67"/>
      <c r="Q57" s="67"/>
      <c r="R57" s="67"/>
      <c r="S57" s="67"/>
    </row>
    <row r="58" spans="1:19">
      <c r="A58" s="54" t="s">
        <v>146</v>
      </c>
      <c r="B58" s="67">
        <f>SUMIFS('Safeguard facility data'!BB$4:BB$312,'Safeguard facility data'!$Q$4:$Q$312,$A58,'Safeguard facility data'!BB$4:BB$312,"&gt;0")</f>
        <v>0</v>
      </c>
      <c r="C58" s="67">
        <f>SUMIFS('Safeguard facility data'!BC$4:BC$312,'Safeguard facility data'!$Q$4:$Q$312,$A58,'Safeguard facility data'!BC$4:BC$312,"&gt;0")</f>
        <v>0</v>
      </c>
      <c r="D58" s="67">
        <f>SUMIFS('Safeguard facility data'!BD$4:BD$312,'Safeguard facility data'!$Q$4:$Q$312,$A58,'Safeguard facility data'!BD$4:BD$312,"&gt;0")</f>
        <v>0</v>
      </c>
      <c r="E58" s="67">
        <f>SUMIFS('Safeguard facility data'!BE$4:BE$312,'Safeguard facility data'!$Q$4:$Q$312,$A58,'Safeguard facility data'!BE$4:BE$312,"&gt;0")</f>
        <v>0</v>
      </c>
      <c r="F58" s="67">
        <f>SUMIFS('Safeguard facility data'!BF$4:BF$312,'Safeguard facility data'!$Q$4:$Q$312,$A58,'Safeguard facility data'!BF$4:BF$312,"&gt;0")</f>
        <v>0</v>
      </c>
      <c r="G58" s="67">
        <f t="shared" si="2"/>
        <v>0</v>
      </c>
      <c r="H58" s="67"/>
      <c r="I58" s="67"/>
      <c r="J58" s="67"/>
      <c r="K58" s="67"/>
      <c r="L58" s="67"/>
      <c r="M58" s="67"/>
      <c r="N58" s="67"/>
      <c r="O58" s="67"/>
      <c r="P58" s="67"/>
      <c r="Q58" s="67"/>
      <c r="R58" s="67"/>
      <c r="S58" s="67"/>
    </row>
    <row r="59" spans="1:19">
      <c r="A59" s="54" t="s">
        <v>147</v>
      </c>
      <c r="B59" s="67">
        <f>SUMIFS('Safeguard facility data'!BB$4:BB$312,'Safeguard facility data'!$Q$4:$Q$312,$A59,'Safeguard facility data'!BB$4:BB$312,"&gt;0")</f>
        <v>0</v>
      </c>
      <c r="C59" s="67">
        <f>SUMIFS('Safeguard facility data'!BC$4:BC$312,'Safeguard facility data'!$Q$4:$Q$312,$A59,'Safeguard facility data'!BC$4:BC$312,"&gt;0")</f>
        <v>0</v>
      </c>
      <c r="D59" s="67">
        <f>SUMIFS('Safeguard facility data'!BD$4:BD$312,'Safeguard facility data'!$Q$4:$Q$312,$A59,'Safeguard facility data'!BD$4:BD$312,"&gt;0")</f>
        <v>0</v>
      </c>
      <c r="E59" s="67">
        <f>SUMIFS('Safeguard facility data'!BE$4:BE$312,'Safeguard facility data'!$Q$4:$Q$312,$A59,'Safeguard facility data'!BE$4:BE$312,"&gt;0")</f>
        <v>0</v>
      </c>
      <c r="F59" s="67">
        <f>SUMIFS('Safeguard facility data'!BF$4:BF$312,'Safeguard facility data'!$Q$4:$Q$312,$A59,'Safeguard facility data'!BF$4:BF$312,"&gt;0")</f>
        <v>0</v>
      </c>
      <c r="G59" s="67">
        <f t="shared" si="2"/>
        <v>0</v>
      </c>
      <c r="H59" s="67"/>
      <c r="I59" s="67"/>
      <c r="J59" s="67"/>
      <c r="K59" s="67"/>
      <c r="L59" s="67"/>
      <c r="M59" s="67"/>
      <c r="N59" s="67"/>
      <c r="O59" s="67"/>
      <c r="P59" s="67"/>
      <c r="Q59" s="67"/>
      <c r="R59" s="67"/>
      <c r="S59" s="67"/>
    </row>
    <row r="60" spans="1:19">
      <c r="A60" s="54" t="s">
        <v>148</v>
      </c>
      <c r="B60" s="67">
        <f>SUMIFS('Safeguard facility data'!BB$4:BB$312,'Safeguard facility data'!$Q$4:$Q$312,$A60,'Safeguard facility data'!BB$4:BB$312,"&gt;0")</f>
        <v>0</v>
      </c>
      <c r="C60" s="67">
        <f>SUMIFS('Safeguard facility data'!BC$4:BC$312,'Safeguard facility data'!$Q$4:$Q$312,$A60,'Safeguard facility data'!BC$4:BC$312,"&gt;0")</f>
        <v>0</v>
      </c>
      <c r="D60" s="67">
        <f>SUMIFS('Safeguard facility data'!BD$4:BD$312,'Safeguard facility data'!$Q$4:$Q$312,$A60,'Safeguard facility data'!BD$4:BD$312,"&gt;0")</f>
        <v>0</v>
      </c>
      <c r="E60" s="67">
        <f>SUMIFS('Safeguard facility data'!BE$4:BE$312,'Safeguard facility data'!$Q$4:$Q$312,$A60,'Safeguard facility data'!BE$4:BE$312,"&gt;0")</f>
        <v>0</v>
      </c>
      <c r="F60" s="67">
        <f>SUMIFS('Safeguard facility data'!BF$4:BF$312,'Safeguard facility data'!$Q$4:$Q$312,$A60,'Safeguard facility data'!BF$4:BF$312,"&gt;0")</f>
        <v>0</v>
      </c>
      <c r="G60" s="67">
        <f t="shared" si="2"/>
        <v>0</v>
      </c>
      <c r="H60" s="67"/>
      <c r="I60" s="67"/>
      <c r="J60" s="67"/>
      <c r="K60" s="67"/>
      <c r="L60" s="67"/>
      <c r="M60" s="67"/>
      <c r="N60" s="67"/>
      <c r="O60" s="67"/>
      <c r="P60" s="67"/>
      <c r="Q60" s="67"/>
      <c r="R60" s="67"/>
      <c r="S60" s="67"/>
    </row>
    <row r="61" spans="1:19">
      <c r="A61" s="54" t="s">
        <v>149</v>
      </c>
      <c r="B61" s="67">
        <f>SUMIFS('Safeguard facility data'!BB$4:BB$312,'Safeguard facility data'!$Q$4:$Q$312,$A61,'Safeguard facility data'!BB$4:BB$312,"&gt;0")</f>
        <v>0</v>
      </c>
      <c r="C61" s="67">
        <f>SUMIFS('Safeguard facility data'!BC$4:BC$312,'Safeguard facility data'!$Q$4:$Q$312,$A61,'Safeguard facility data'!BC$4:BC$312,"&gt;0")</f>
        <v>0</v>
      </c>
      <c r="D61" s="67">
        <f>SUMIFS('Safeguard facility data'!BD$4:BD$312,'Safeguard facility data'!$Q$4:$Q$312,$A61,'Safeguard facility data'!BD$4:BD$312,"&gt;0")</f>
        <v>0</v>
      </c>
      <c r="E61" s="67">
        <f>SUMIFS('Safeguard facility data'!BE$4:BE$312,'Safeguard facility data'!$Q$4:$Q$312,$A61,'Safeguard facility data'!BE$4:BE$312,"&gt;0")</f>
        <v>0</v>
      </c>
      <c r="F61" s="67">
        <f>SUMIFS('Safeguard facility data'!BF$4:BF$312,'Safeguard facility data'!$Q$4:$Q$312,$A61,'Safeguard facility data'!BF$4:BF$312,"&gt;0")</f>
        <v>0</v>
      </c>
      <c r="G61" s="67">
        <f t="shared" si="2"/>
        <v>0</v>
      </c>
      <c r="H61" s="67"/>
      <c r="I61" s="67"/>
      <c r="J61" s="67"/>
      <c r="K61" s="67"/>
      <c r="L61" s="67"/>
      <c r="M61" s="67"/>
      <c r="N61" s="67"/>
      <c r="O61" s="67"/>
      <c r="P61" s="67"/>
      <c r="Q61" s="67"/>
      <c r="R61" s="67"/>
      <c r="S61" s="67"/>
    </row>
    <row r="62" spans="1:19">
      <c r="A62" s="54" t="s">
        <v>150</v>
      </c>
      <c r="B62" s="67">
        <f>SUMIFS('Safeguard facility data'!BB$4:BB$312,'Safeguard facility data'!$Q$4:$Q$312,$A62,'Safeguard facility data'!BB$4:BB$312,"&gt;0")</f>
        <v>0</v>
      </c>
      <c r="C62" s="67">
        <f>SUMIFS('Safeguard facility data'!BC$4:BC$312,'Safeguard facility data'!$Q$4:$Q$312,$A62,'Safeguard facility data'!BC$4:BC$312,"&gt;0")</f>
        <v>0</v>
      </c>
      <c r="D62" s="67">
        <f>SUMIFS('Safeguard facility data'!BD$4:BD$312,'Safeguard facility data'!$Q$4:$Q$312,$A62,'Safeguard facility data'!BD$4:BD$312,"&gt;0")</f>
        <v>0</v>
      </c>
      <c r="E62" s="67">
        <f>SUMIFS('Safeguard facility data'!BE$4:BE$312,'Safeguard facility data'!$Q$4:$Q$312,$A62,'Safeguard facility data'!BE$4:BE$312,"&gt;0")</f>
        <v>0</v>
      </c>
      <c r="F62" s="67">
        <f>SUMIFS('Safeguard facility data'!BF$4:BF$312,'Safeguard facility data'!$Q$4:$Q$312,$A62,'Safeguard facility data'!BF$4:BF$312,"&gt;0")</f>
        <v>0</v>
      </c>
      <c r="G62" s="67">
        <f t="shared" si="2"/>
        <v>0</v>
      </c>
      <c r="H62" s="67"/>
      <c r="I62" s="67"/>
      <c r="J62" s="67"/>
      <c r="K62" s="67"/>
      <c r="L62" s="67"/>
      <c r="M62" s="67"/>
      <c r="N62" s="67"/>
      <c r="O62" s="67"/>
      <c r="P62" s="67"/>
      <c r="Q62" s="67"/>
      <c r="R62" s="67"/>
      <c r="S62" s="67"/>
    </row>
    <row r="63" spans="1:19">
      <c r="A63" s="54" t="s">
        <v>151</v>
      </c>
      <c r="B63" s="67">
        <f>SUMIFS('Safeguard facility data'!BB$4:BB$312,'Safeguard facility data'!$Q$4:$Q$312,$A63,'Safeguard facility data'!BB$4:BB$312,"&gt;0")</f>
        <v>0</v>
      </c>
      <c r="C63" s="67">
        <f>SUMIFS('Safeguard facility data'!BC$4:BC$312,'Safeguard facility data'!$Q$4:$Q$312,$A63,'Safeguard facility data'!BC$4:BC$312,"&gt;0")</f>
        <v>0</v>
      </c>
      <c r="D63" s="67">
        <f>SUMIFS('Safeguard facility data'!BD$4:BD$312,'Safeguard facility data'!$Q$4:$Q$312,$A63,'Safeguard facility data'!BD$4:BD$312,"&gt;0")</f>
        <v>0</v>
      </c>
      <c r="E63" s="67">
        <f>SUMIFS('Safeguard facility data'!BE$4:BE$312,'Safeguard facility data'!$Q$4:$Q$312,$A63,'Safeguard facility data'!BE$4:BE$312,"&gt;0")</f>
        <v>0</v>
      </c>
      <c r="F63" s="67">
        <f>SUMIFS('Safeguard facility data'!BF$4:BF$312,'Safeguard facility data'!$Q$4:$Q$312,$A63,'Safeguard facility data'!BF$4:BF$312,"&gt;0")</f>
        <v>0</v>
      </c>
      <c r="G63" s="67">
        <f t="shared" si="2"/>
        <v>0</v>
      </c>
      <c r="H63" s="67"/>
      <c r="I63" s="67"/>
      <c r="J63" s="67"/>
      <c r="K63" s="67"/>
      <c r="L63" s="67"/>
      <c r="M63" s="67"/>
      <c r="N63" s="67"/>
      <c r="O63" s="67"/>
      <c r="P63" s="67"/>
      <c r="Q63" s="67"/>
      <c r="R63" s="67"/>
      <c r="S63" s="67"/>
    </row>
    <row r="64" spans="1:19">
      <c r="A64" s="54" t="s">
        <v>71</v>
      </c>
      <c r="B64" s="67">
        <f>SUMIFS('Safeguard facility data'!BB$4:BB$312,'Safeguard facility data'!$Q$4:$Q$312,$A64,'Safeguard facility data'!BB$4:BB$312,"&gt;0")</f>
        <v>0</v>
      </c>
      <c r="C64" s="67">
        <f>SUMIFS('Safeguard facility data'!BC$4:BC$312,'Safeguard facility data'!$Q$4:$Q$312,$A64,'Safeguard facility data'!BC$4:BC$312,"&gt;0")</f>
        <v>0</v>
      </c>
      <c r="D64" s="67">
        <f>SUMIFS('Safeguard facility data'!BD$4:BD$312,'Safeguard facility data'!$Q$4:$Q$312,$A64,'Safeguard facility data'!BD$4:BD$312,"&gt;0")</f>
        <v>0</v>
      </c>
      <c r="E64" s="67">
        <f>SUMIFS('Safeguard facility data'!BE$4:BE$312,'Safeguard facility data'!$Q$4:$Q$312,$A64,'Safeguard facility data'!BE$4:BE$312,"&gt;0")</f>
        <v>0</v>
      </c>
      <c r="F64" s="67">
        <f>SUMIFS('Safeguard facility data'!BF$4:BF$312,'Safeguard facility data'!$Q$4:$Q$312,$A64,'Safeguard facility data'!BF$4:BF$312,"&gt;0")</f>
        <v>0</v>
      </c>
      <c r="G64" s="67">
        <f t="shared" si="2"/>
        <v>0</v>
      </c>
      <c r="H64" s="67"/>
      <c r="I64" s="67"/>
      <c r="J64" s="67"/>
      <c r="K64" s="67"/>
      <c r="L64" s="67"/>
      <c r="M64" s="67"/>
      <c r="N64" s="67"/>
      <c r="O64" s="67"/>
      <c r="P64" s="67"/>
      <c r="Q64" s="67"/>
      <c r="R64" s="67"/>
      <c r="S64" s="67"/>
    </row>
    <row r="65" spans="1:19">
      <c r="A65" s="54" t="s">
        <v>78</v>
      </c>
      <c r="B65" s="67">
        <f>SUMIFS('Safeguard facility data'!BB$4:BB$312,'Safeguard facility data'!$Q$4:$Q$312,$A65,'Safeguard facility data'!BB$4:BB$312,"&gt;0")</f>
        <v>0</v>
      </c>
      <c r="C65" s="67">
        <f>SUMIFS('Safeguard facility data'!BC$4:BC$312,'Safeguard facility data'!$Q$4:$Q$312,$A65,'Safeguard facility data'!BC$4:BC$312,"&gt;0")</f>
        <v>0</v>
      </c>
      <c r="D65" s="67">
        <f>SUMIFS('Safeguard facility data'!BD$4:BD$312,'Safeguard facility data'!$Q$4:$Q$312,$A65,'Safeguard facility data'!BD$4:BD$312,"&gt;0")</f>
        <v>0</v>
      </c>
      <c r="E65" s="67">
        <f>SUMIFS('Safeguard facility data'!BE$4:BE$312,'Safeguard facility data'!$Q$4:$Q$312,$A65,'Safeguard facility data'!BE$4:BE$312,"&gt;0")</f>
        <v>0</v>
      </c>
      <c r="F65" s="67">
        <f>SUMIFS('Safeguard facility data'!BF$4:BF$312,'Safeguard facility data'!$Q$4:$Q$312,$A65,'Safeguard facility data'!BF$4:BF$312,"&gt;0")</f>
        <v>0</v>
      </c>
      <c r="G65" s="67">
        <f t="shared" si="2"/>
        <v>0</v>
      </c>
      <c r="H65" s="67"/>
      <c r="I65" s="67"/>
      <c r="J65" s="67"/>
      <c r="K65" s="67"/>
      <c r="L65" s="67"/>
      <c r="M65" s="67"/>
      <c r="N65" s="67"/>
      <c r="O65" s="67"/>
      <c r="P65" s="67"/>
      <c r="Q65" s="67"/>
      <c r="R65" s="67"/>
      <c r="S65" s="67"/>
    </row>
    <row r="66" spans="1:19">
      <c r="A66" s="54" t="s">
        <v>152</v>
      </c>
      <c r="B66" s="67">
        <f>SUMIFS('Safeguard facility data'!BB$4:BB$312,'Safeguard facility data'!$Q$4:$Q$312,$A66,'Safeguard facility data'!BB$4:BB$312,"&gt;0")</f>
        <v>0</v>
      </c>
      <c r="C66" s="67">
        <f>SUMIFS('Safeguard facility data'!BC$4:BC$312,'Safeguard facility data'!$Q$4:$Q$312,$A66,'Safeguard facility data'!BC$4:BC$312,"&gt;0")</f>
        <v>0</v>
      </c>
      <c r="D66" s="67">
        <f>SUMIFS('Safeguard facility data'!BD$4:BD$312,'Safeguard facility data'!$Q$4:$Q$312,$A66,'Safeguard facility data'!BD$4:BD$312,"&gt;0")</f>
        <v>0</v>
      </c>
      <c r="E66" s="67">
        <f>SUMIFS('Safeguard facility data'!BE$4:BE$312,'Safeguard facility data'!$Q$4:$Q$312,$A66,'Safeguard facility data'!BE$4:BE$312,"&gt;0")</f>
        <v>0</v>
      </c>
      <c r="F66" s="67">
        <f>SUMIFS('Safeguard facility data'!BF$4:BF$312,'Safeguard facility data'!$Q$4:$Q$312,$A66,'Safeguard facility data'!BF$4:BF$312,"&gt;0")</f>
        <v>0</v>
      </c>
      <c r="G66" s="67">
        <f t="shared" ref="G66:G97" si="3">SUM(B66:F66)</f>
        <v>0</v>
      </c>
      <c r="H66" s="67"/>
      <c r="I66" s="67"/>
      <c r="J66" s="67"/>
      <c r="K66" s="67"/>
      <c r="L66" s="67"/>
      <c r="M66" s="67"/>
      <c r="N66" s="67"/>
      <c r="O66" s="67"/>
      <c r="P66" s="67"/>
      <c r="Q66" s="67"/>
      <c r="R66" s="67"/>
      <c r="S66" s="67"/>
    </row>
    <row r="67" spans="1:19">
      <c r="A67" s="54" t="s">
        <v>153</v>
      </c>
      <c r="B67" s="67">
        <f>SUMIFS('Safeguard facility data'!BB$4:BB$312,'Safeguard facility data'!$Q$4:$Q$312,$A67,'Safeguard facility data'!BB$4:BB$312,"&gt;0")</f>
        <v>0</v>
      </c>
      <c r="C67" s="67">
        <f>SUMIFS('Safeguard facility data'!BC$4:BC$312,'Safeguard facility data'!$Q$4:$Q$312,$A67,'Safeguard facility data'!BC$4:BC$312,"&gt;0")</f>
        <v>0</v>
      </c>
      <c r="D67" s="67">
        <f>SUMIFS('Safeguard facility data'!BD$4:BD$312,'Safeguard facility data'!$Q$4:$Q$312,$A67,'Safeguard facility data'!BD$4:BD$312,"&gt;0")</f>
        <v>0</v>
      </c>
      <c r="E67" s="67">
        <f>SUMIFS('Safeguard facility data'!BE$4:BE$312,'Safeguard facility data'!$Q$4:$Q$312,$A67,'Safeguard facility data'!BE$4:BE$312,"&gt;0")</f>
        <v>0</v>
      </c>
      <c r="F67" s="67">
        <f>SUMIFS('Safeguard facility data'!BF$4:BF$312,'Safeguard facility data'!$Q$4:$Q$312,$A67,'Safeguard facility data'!BF$4:BF$312,"&gt;0")</f>
        <v>0</v>
      </c>
      <c r="G67" s="67">
        <f t="shared" si="3"/>
        <v>0</v>
      </c>
      <c r="H67" s="67"/>
      <c r="I67" s="67"/>
      <c r="J67" s="67"/>
      <c r="K67" s="67"/>
      <c r="L67" s="67"/>
      <c r="M67" s="67"/>
      <c r="N67" s="67"/>
      <c r="O67" s="67"/>
      <c r="P67" s="67"/>
      <c r="Q67" s="67"/>
      <c r="R67" s="67"/>
      <c r="S67" s="67"/>
    </row>
    <row r="68" spans="1:19">
      <c r="A68" s="54" t="s">
        <v>154</v>
      </c>
      <c r="B68" s="67">
        <f>SUMIFS('Safeguard facility data'!BB$4:BB$312,'Safeguard facility data'!$Q$4:$Q$312,$A68,'Safeguard facility data'!BB$4:BB$312,"&gt;0")</f>
        <v>0</v>
      </c>
      <c r="C68" s="67">
        <f>SUMIFS('Safeguard facility data'!BC$4:BC$312,'Safeguard facility data'!$Q$4:$Q$312,$A68,'Safeguard facility data'!BC$4:BC$312,"&gt;0")</f>
        <v>0</v>
      </c>
      <c r="D68" s="67">
        <f>SUMIFS('Safeguard facility data'!BD$4:BD$312,'Safeguard facility data'!$Q$4:$Q$312,$A68,'Safeguard facility data'!BD$4:BD$312,"&gt;0")</f>
        <v>0</v>
      </c>
      <c r="E68" s="67">
        <f>SUMIFS('Safeguard facility data'!BE$4:BE$312,'Safeguard facility data'!$Q$4:$Q$312,$A68,'Safeguard facility data'!BE$4:BE$312,"&gt;0")</f>
        <v>0</v>
      </c>
      <c r="F68" s="67">
        <f>SUMIFS('Safeguard facility data'!BF$4:BF$312,'Safeguard facility data'!$Q$4:$Q$312,$A68,'Safeguard facility data'!BF$4:BF$312,"&gt;0")</f>
        <v>0</v>
      </c>
      <c r="G68" s="67">
        <f t="shared" si="3"/>
        <v>0</v>
      </c>
      <c r="H68" s="67"/>
      <c r="I68" s="67"/>
      <c r="J68" s="67"/>
      <c r="K68" s="67"/>
      <c r="L68" s="67"/>
      <c r="M68" s="67"/>
      <c r="N68" s="67"/>
      <c r="O68" s="67"/>
      <c r="P68" s="67"/>
      <c r="Q68" s="67"/>
      <c r="R68" s="67"/>
      <c r="S68" s="67"/>
    </row>
    <row r="69" spans="1:19">
      <c r="A69" s="54" t="s">
        <v>155</v>
      </c>
      <c r="B69" s="67">
        <f>SUMIFS('Safeguard facility data'!BB$4:BB$312,'Safeguard facility data'!$Q$4:$Q$312,$A69,'Safeguard facility data'!BB$4:BB$312,"&gt;0")</f>
        <v>0</v>
      </c>
      <c r="C69" s="67">
        <f>SUMIFS('Safeguard facility data'!BC$4:BC$312,'Safeguard facility data'!$Q$4:$Q$312,$A69,'Safeguard facility data'!BC$4:BC$312,"&gt;0")</f>
        <v>0</v>
      </c>
      <c r="D69" s="67">
        <f>SUMIFS('Safeguard facility data'!BD$4:BD$312,'Safeguard facility data'!$Q$4:$Q$312,$A69,'Safeguard facility data'!BD$4:BD$312,"&gt;0")</f>
        <v>0</v>
      </c>
      <c r="E69" s="67">
        <f>SUMIFS('Safeguard facility data'!BE$4:BE$312,'Safeguard facility data'!$Q$4:$Q$312,$A69,'Safeguard facility data'!BE$4:BE$312,"&gt;0")</f>
        <v>0</v>
      </c>
      <c r="F69" s="67">
        <f>SUMIFS('Safeguard facility data'!BF$4:BF$312,'Safeguard facility data'!$Q$4:$Q$312,$A69,'Safeguard facility data'!BF$4:BF$312,"&gt;0")</f>
        <v>0</v>
      </c>
      <c r="G69" s="67">
        <f t="shared" si="3"/>
        <v>0</v>
      </c>
      <c r="H69" s="67"/>
      <c r="I69" s="67"/>
      <c r="J69" s="67"/>
      <c r="K69" s="67"/>
      <c r="L69" s="67"/>
      <c r="M69" s="67"/>
      <c r="N69" s="67"/>
      <c r="O69" s="67"/>
      <c r="P69" s="67"/>
      <c r="Q69" s="67"/>
      <c r="R69" s="67"/>
      <c r="S69" s="67"/>
    </row>
    <row r="70" spans="1:19">
      <c r="A70" s="54" t="s">
        <v>156</v>
      </c>
      <c r="B70" s="67">
        <f>SUMIFS('Safeguard facility data'!BB$4:BB$312,'Safeguard facility data'!$Q$4:$Q$312,$A70,'Safeguard facility data'!BB$4:BB$312,"&gt;0")</f>
        <v>0</v>
      </c>
      <c r="C70" s="67">
        <f>SUMIFS('Safeguard facility data'!BC$4:BC$312,'Safeguard facility data'!$Q$4:$Q$312,$A70,'Safeguard facility data'!BC$4:BC$312,"&gt;0")</f>
        <v>0</v>
      </c>
      <c r="D70" s="67">
        <f>SUMIFS('Safeguard facility data'!BD$4:BD$312,'Safeguard facility data'!$Q$4:$Q$312,$A70,'Safeguard facility data'!BD$4:BD$312,"&gt;0")</f>
        <v>0</v>
      </c>
      <c r="E70" s="67">
        <f>SUMIFS('Safeguard facility data'!BE$4:BE$312,'Safeguard facility data'!$Q$4:$Q$312,$A70,'Safeguard facility data'!BE$4:BE$312,"&gt;0")</f>
        <v>0</v>
      </c>
      <c r="F70" s="67">
        <f>SUMIFS('Safeguard facility data'!BF$4:BF$312,'Safeguard facility data'!$Q$4:$Q$312,$A70,'Safeguard facility data'!BF$4:BF$312,"&gt;0")</f>
        <v>0</v>
      </c>
      <c r="G70" s="67">
        <f t="shared" si="3"/>
        <v>0</v>
      </c>
      <c r="H70" s="67"/>
      <c r="I70" s="67"/>
      <c r="J70" s="67"/>
      <c r="K70" s="67"/>
      <c r="L70" s="67"/>
      <c r="M70" s="67"/>
      <c r="N70" s="67"/>
      <c r="O70" s="67"/>
      <c r="P70" s="67"/>
      <c r="Q70" s="67"/>
      <c r="R70" s="67"/>
      <c r="S70" s="67"/>
    </row>
    <row r="71" spans="1:19">
      <c r="A71" s="54" t="s">
        <v>94</v>
      </c>
      <c r="B71" s="67">
        <f>SUMIFS('Safeguard facility data'!BB$4:BB$312,'Safeguard facility data'!$Q$4:$Q$312,$A71,'Safeguard facility data'!BB$4:BB$312,"&gt;0")</f>
        <v>0</v>
      </c>
      <c r="C71" s="67">
        <f>SUMIFS('Safeguard facility data'!BC$4:BC$312,'Safeguard facility data'!$Q$4:$Q$312,$A71,'Safeguard facility data'!BC$4:BC$312,"&gt;0")</f>
        <v>0</v>
      </c>
      <c r="D71" s="67">
        <f>SUMIFS('Safeguard facility data'!BD$4:BD$312,'Safeguard facility data'!$Q$4:$Q$312,$A71,'Safeguard facility data'!BD$4:BD$312,"&gt;0")</f>
        <v>0</v>
      </c>
      <c r="E71" s="67">
        <f>SUMIFS('Safeguard facility data'!BE$4:BE$312,'Safeguard facility data'!$Q$4:$Q$312,$A71,'Safeguard facility data'!BE$4:BE$312,"&gt;0")</f>
        <v>0</v>
      </c>
      <c r="F71" s="67">
        <f>SUMIFS('Safeguard facility data'!BF$4:BF$312,'Safeguard facility data'!$Q$4:$Q$312,$A71,'Safeguard facility data'!BF$4:BF$312,"&gt;0")</f>
        <v>0</v>
      </c>
      <c r="G71" s="67">
        <f t="shared" si="3"/>
        <v>0</v>
      </c>
      <c r="H71" s="67"/>
      <c r="I71" s="67"/>
      <c r="J71" s="67"/>
      <c r="K71" s="67"/>
      <c r="L71" s="67"/>
      <c r="M71" s="67"/>
      <c r="N71" s="67"/>
      <c r="O71" s="67"/>
      <c r="P71" s="67"/>
      <c r="Q71" s="67"/>
      <c r="R71" s="67"/>
      <c r="S71" s="67"/>
    </row>
    <row r="72" spans="1:19">
      <c r="A72" s="54" t="s">
        <v>233</v>
      </c>
      <c r="B72" s="67">
        <f>SUMIFS('Safeguard facility data'!BB$4:BB$312,'Safeguard facility data'!$Q$4:$Q$312,$A72,'Safeguard facility data'!BB$4:BB$312,"&gt;0")</f>
        <v>0</v>
      </c>
      <c r="C72" s="67">
        <f>SUMIFS('Safeguard facility data'!BC$4:BC$312,'Safeguard facility data'!$Q$4:$Q$312,$A72,'Safeguard facility data'!BC$4:BC$312,"&gt;0")</f>
        <v>0</v>
      </c>
      <c r="D72" s="67">
        <f>SUMIFS('Safeguard facility data'!BD$4:BD$312,'Safeguard facility data'!$Q$4:$Q$312,$A72,'Safeguard facility data'!BD$4:BD$312,"&gt;0")</f>
        <v>0</v>
      </c>
      <c r="E72" s="67">
        <f>SUMIFS('Safeguard facility data'!BE$4:BE$312,'Safeguard facility data'!$Q$4:$Q$312,$A72,'Safeguard facility data'!BE$4:BE$312,"&gt;0")</f>
        <v>0</v>
      </c>
      <c r="F72" s="67">
        <f>SUMIFS('Safeguard facility data'!BF$4:BF$312,'Safeguard facility data'!$Q$4:$Q$312,$A72,'Safeguard facility data'!BF$4:BF$312,"&gt;0")</f>
        <v>0</v>
      </c>
      <c r="G72" s="67">
        <f t="shared" si="3"/>
        <v>0</v>
      </c>
      <c r="H72" s="67"/>
      <c r="I72" s="67"/>
      <c r="J72" s="67"/>
      <c r="K72" s="67"/>
      <c r="L72" s="67"/>
      <c r="M72" s="67"/>
      <c r="N72" s="67"/>
      <c r="O72" s="67"/>
      <c r="P72" s="67"/>
      <c r="Q72" s="67"/>
      <c r="R72" s="67"/>
      <c r="S72" s="67"/>
    </row>
    <row r="73" spans="1:19">
      <c r="A73" s="54" t="s">
        <v>234</v>
      </c>
      <c r="B73" s="67">
        <f>SUMIFS('Safeguard facility data'!BB$4:BB$312,'Safeguard facility data'!$Q$4:$Q$312,$A73,'Safeguard facility data'!BB$4:BB$312,"&gt;0")</f>
        <v>0</v>
      </c>
      <c r="C73" s="67">
        <f>SUMIFS('Safeguard facility data'!BC$4:BC$312,'Safeguard facility data'!$Q$4:$Q$312,$A73,'Safeguard facility data'!BC$4:BC$312,"&gt;0")</f>
        <v>0</v>
      </c>
      <c r="D73" s="67">
        <f>SUMIFS('Safeguard facility data'!BD$4:BD$312,'Safeguard facility data'!$Q$4:$Q$312,$A73,'Safeguard facility data'!BD$4:BD$312,"&gt;0")</f>
        <v>0</v>
      </c>
      <c r="E73" s="67">
        <f>SUMIFS('Safeguard facility data'!BE$4:BE$312,'Safeguard facility data'!$Q$4:$Q$312,$A73,'Safeguard facility data'!BE$4:BE$312,"&gt;0")</f>
        <v>0</v>
      </c>
      <c r="F73" s="67">
        <f>SUMIFS('Safeguard facility data'!BF$4:BF$312,'Safeguard facility data'!$Q$4:$Q$312,$A73,'Safeguard facility data'!BF$4:BF$312,"&gt;0")</f>
        <v>0</v>
      </c>
      <c r="G73" s="67">
        <f t="shared" si="3"/>
        <v>0</v>
      </c>
      <c r="H73" s="67"/>
      <c r="I73" s="67"/>
      <c r="J73" s="67"/>
      <c r="K73" s="67"/>
      <c r="L73" s="67"/>
      <c r="M73" s="67"/>
      <c r="N73" s="67"/>
      <c r="O73" s="67"/>
      <c r="P73" s="67"/>
      <c r="Q73" s="67"/>
      <c r="R73" s="67"/>
      <c r="S73" s="67"/>
    </row>
    <row r="74" spans="1:19">
      <c r="A74" s="54" t="s">
        <v>157</v>
      </c>
      <c r="B74" s="67">
        <f>SUMIFS('Safeguard facility data'!BB$4:BB$312,'Safeguard facility data'!$Q$4:$Q$312,$A74,'Safeguard facility data'!BB$4:BB$312,"&gt;0")</f>
        <v>0</v>
      </c>
      <c r="C74" s="67">
        <f>SUMIFS('Safeguard facility data'!BC$4:BC$312,'Safeguard facility data'!$Q$4:$Q$312,$A74,'Safeguard facility data'!BC$4:BC$312,"&gt;0")</f>
        <v>0</v>
      </c>
      <c r="D74" s="67">
        <f>SUMIFS('Safeguard facility data'!BD$4:BD$312,'Safeguard facility data'!$Q$4:$Q$312,$A74,'Safeguard facility data'!BD$4:BD$312,"&gt;0")</f>
        <v>0</v>
      </c>
      <c r="E74" s="67">
        <f>SUMIFS('Safeguard facility data'!BE$4:BE$312,'Safeguard facility data'!$Q$4:$Q$312,$A74,'Safeguard facility data'!BE$4:BE$312,"&gt;0")</f>
        <v>0</v>
      </c>
      <c r="F74" s="67">
        <f>SUMIFS('Safeguard facility data'!BF$4:BF$312,'Safeguard facility data'!$Q$4:$Q$312,$A74,'Safeguard facility data'!BF$4:BF$312,"&gt;0")</f>
        <v>0</v>
      </c>
      <c r="G74" s="67">
        <f t="shared" si="3"/>
        <v>0</v>
      </c>
      <c r="H74" s="67"/>
      <c r="I74" s="67"/>
      <c r="J74" s="67"/>
      <c r="K74" s="67"/>
      <c r="L74" s="67"/>
      <c r="M74" s="67"/>
      <c r="N74" s="67"/>
      <c r="O74" s="67"/>
      <c r="P74" s="67"/>
      <c r="Q74" s="67"/>
      <c r="R74" s="67"/>
      <c r="S74" s="67"/>
    </row>
    <row r="75" spans="1:19">
      <c r="A75" s="54" t="s">
        <v>160</v>
      </c>
      <c r="B75" s="67">
        <f>SUMIFS('Safeguard facility data'!BB$4:BB$312,'Safeguard facility data'!$Q$4:$Q$312,$A75,'Safeguard facility data'!BB$4:BB$312,"&gt;0")</f>
        <v>0</v>
      </c>
      <c r="C75" s="67">
        <f>SUMIFS('Safeguard facility data'!BC$4:BC$312,'Safeguard facility data'!$Q$4:$Q$312,$A75,'Safeguard facility data'!BC$4:BC$312,"&gt;0")</f>
        <v>0</v>
      </c>
      <c r="D75" s="67">
        <f>SUMIFS('Safeguard facility data'!BD$4:BD$312,'Safeguard facility data'!$Q$4:$Q$312,$A75,'Safeguard facility data'!BD$4:BD$312,"&gt;0")</f>
        <v>0</v>
      </c>
      <c r="E75" s="67">
        <f>SUMIFS('Safeguard facility data'!BE$4:BE$312,'Safeguard facility data'!$Q$4:$Q$312,$A75,'Safeguard facility data'!BE$4:BE$312,"&gt;0")</f>
        <v>0</v>
      </c>
      <c r="F75" s="67">
        <f>SUMIFS('Safeguard facility data'!BF$4:BF$312,'Safeguard facility data'!$Q$4:$Q$312,$A75,'Safeguard facility data'!BF$4:BF$312,"&gt;0")</f>
        <v>0</v>
      </c>
      <c r="G75" s="67">
        <f t="shared" si="3"/>
        <v>0</v>
      </c>
      <c r="H75" s="67"/>
      <c r="I75" s="67"/>
      <c r="J75" s="67"/>
      <c r="K75" s="67"/>
      <c r="L75" s="67"/>
      <c r="M75" s="67"/>
      <c r="N75" s="67"/>
      <c r="O75" s="67"/>
      <c r="P75" s="67"/>
      <c r="Q75" s="67"/>
      <c r="R75" s="67"/>
      <c r="S75" s="67"/>
    </row>
    <row r="76" spans="1:19">
      <c r="A76" s="54" t="s">
        <v>235</v>
      </c>
      <c r="B76" s="67">
        <f>SUMIFS('Safeguard facility data'!BB$4:BB$312,'Safeguard facility data'!$Q$4:$Q$312,$A76,'Safeguard facility data'!BB$4:BB$312,"&gt;0")</f>
        <v>0</v>
      </c>
      <c r="C76" s="67">
        <f>SUMIFS('Safeguard facility data'!BC$4:BC$312,'Safeguard facility data'!$Q$4:$Q$312,$A76,'Safeguard facility data'!BC$4:BC$312,"&gt;0")</f>
        <v>0</v>
      </c>
      <c r="D76" s="67">
        <f>SUMIFS('Safeguard facility data'!BD$4:BD$312,'Safeguard facility data'!$Q$4:$Q$312,$A76,'Safeguard facility data'!BD$4:BD$312,"&gt;0")</f>
        <v>0</v>
      </c>
      <c r="E76" s="67">
        <f>SUMIFS('Safeguard facility data'!BE$4:BE$312,'Safeguard facility data'!$Q$4:$Q$312,$A76,'Safeguard facility data'!BE$4:BE$312,"&gt;0")</f>
        <v>0</v>
      </c>
      <c r="F76" s="67">
        <f>SUMIFS('Safeguard facility data'!BF$4:BF$312,'Safeguard facility data'!$Q$4:$Q$312,$A76,'Safeguard facility data'!BF$4:BF$312,"&gt;0")</f>
        <v>0</v>
      </c>
      <c r="G76" s="67">
        <f t="shared" si="3"/>
        <v>0</v>
      </c>
      <c r="H76" s="67"/>
      <c r="I76" s="67"/>
      <c r="J76" s="67"/>
      <c r="K76" s="67"/>
      <c r="L76" s="67"/>
      <c r="M76" s="67"/>
      <c r="N76" s="67"/>
      <c r="O76" s="67"/>
      <c r="P76" s="67"/>
      <c r="Q76" s="67"/>
      <c r="R76" s="67"/>
      <c r="S76" s="67"/>
    </row>
    <row r="77" spans="1:19">
      <c r="A77" s="54" t="s">
        <v>236</v>
      </c>
      <c r="B77" s="67">
        <f>SUMIFS('Safeguard facility data'!BB$4:BB$312,'Safeguard facility data'!$Q$4:$Q$312,$A77,'Safeguard facility data'!BB$4:BB$312,"&gt;0")</f>
        <v>0</v>
      </c>
      <c r="C77" s="67">
        <f>SUMIFS('Safeguard facility data'!BC$4:BC$312,'Safeguard facility data'!$Q$4:$Q$312,$A77,'Safeguard facility data'!BC$4:BC$312,"&gt;0")</f>
        <v>0</v>
      </c>
      <c r="D77" s="67">
        <f>SUMIFS('Safeguard facility data'!BD$4:BD$312,'Safeguard facility data'!$Q$4:$Q$312,$A77,'Safeguard facility data'!BD$4:BD$312,"&gt;0")</f>
        <v>0</v>
      </c>
      <c r="E77" s="67">
        <f>SUMIFS('Safeguard facility data'!BE$4:BE$312,'Safeguard facility data'!$Q$4:$Q$312,$A77,'Safeguard facility data'!BE$4:BE$312,"&gt;0")</f>
        <v>0</v>
      </c>
      <c r="F77" s="67">
        <f>SUMIFS('Safeguard facility data'!BF$4:BF$312,'Safeguard facility data'!$Q$4:$Q$312,$A77,'Safeguard facility data'!BF$4:BF$312,"&gt;0")</f>
        <v>0</v>
      </c>
      <c r="G77" s="67">
        <f t="shared" si="3"/>
        <v>0</v>
      </c>
      <c r="H77" s="67"/>
      <c r="I77" s="67"/>
      <c r="J77" s="67"/>
      <c r="K77" s="67"/>
      <c r="L77" s="67"/>
      <c r="M77" s="67"/>
      <c r="N77" s="67"/>
      <c r="O77" s="67"/>
      <c r="P77" s="67"/>
      <c r="Q77" s="67"/>
      <c r="R77" s="67"/>
      <c r="S77" s="67"/>
    </row>
    <row r="78" spans="1:19">
      <c r="A78" s="54" t="s">
        <v>162</v>
      </c>
      <c r="B78" s="67">
        <f>SUMIFS('Safeguard facility data'!BB$4:BB$312,'Safeguard facility data'!$Q$4:$Q$312,$A78,'Safeguard facility data'!BB$4:BB$312,"&gt;0")</f>
        <v>0</v>
      </c>
      <c r="C78" s="67">
        <f>SUMIFS('Safeguard facility data'!BC$4:BC$312,'Safeguard facility data'!$Q$4:$Q$312,$A78,'Safeguard facility data'!BC$4:BC$312,"&gt;0")</f>
        <v>0</v>
      </c>
      <c r="D78" s="67">
        <f>SUMIFS('Safeguard facility data'!BD$4:BD$312,'Safeguard facility data'!$Q$4:$Q$312,$A78,'Safeguard facility data'!BD$4:BD$312,"&gt;0")</f>
        <v>0</v>
      </c>
      <c r="E78" s="67">
        <f>SUMIFS('Safeguard facility data'!BE$4:BE$312,'Safeguard facility data'!$Q$4:$Q$312,$A78,'Safeguard facility data'!BE$4:BE$312,"&gt;0")</f>
        <v>0</v>
      </c>
      <c r="F78" s="67">
        <f>SUMIFS('Safeguard facility data'!BF$4:BF$312,'Safeguard facility data'!$Q$4:$Q$312,$A78,'Safeguard facility data'!BF$4:BF$312,"&gt;0")</f>
        <v>0</v>
      </c>
      <c r="G78" s="67">
        <f t="shared" si="3"/>
        <v>0</v>
      </c>
      <c r="H78" s="67"/>
      <c r="I78" s="67"/>
      <c r="J78" s="67"/>
      <c r="K78" s="67"/>
      <c r="L78" s="67"/>
      <c r="M78" s="67"/>
      <c r="N78" s="67"/>
      <c r="O78" s="67"/>
      <c r="P78" s="67"/>
      <c r="Q78" s="67"/>
      <c r="R78" s="67"/>
      <c r="S78" s="67"/>
    </row>
    <row r="79" spans="1:19">
      <c r="A79" s="54" t="s">
        <v>237</v>
      </c>
      <c r="B79" s="67">
        <f>SUMIFS('Safeguard facility data'!BB$4:BB$312,'Safeguard facility data'!$Q$4:$Q$312,$A79,'Safeguard facility data'!BB$4:BB$312,"&gt;0")</f>
        <v>0</v>
      </c>
      <c r="C79" s="67">
        <f>SUMIFS('Safeguard facility data'!BC$4:BC$312,'Safeguard facility data'!$Q$4:$Q$312,$A79,'Safeguard facility data'!BC$4:BC$312,"&gt;0")</f>
        <v>0</v>
      </c>
      <c r="D79" s="67">
        <f>SUMIFS('Safeguard facility data'!BD$4:BD$312,'Safeguard facility data'!$Q$4:$Q$312,$A79,'Safeguard facility data'!BD$4:BD$312,"&gt;0")</f>
        <v>0</v>
      </c>
      <c r="E79" s="67">
        <f>SUMIFS('Safeguard facility data'!BE$4:BE$312,'Safeguard facility data'!$Q$4:$Q$312,$A79,'Safeguard facility data'!BE$4:BE$312,"&gt;0")</f>
        <v>0</v>
      </c>
      <c r="F79" s="67">
        <f>SUMIFS('Safeguard facility data'!BF$4:BF$312,'Safeguard facility data'!$Q$4:$Q$312,$A79,'Safeguard facility data'!BF$4:BF$312,"&gt;0")</f>
        <v>0</v>
      </c>
      <c r="G79" s="67">
        <f t="shared" si="3"/>
        <v>0</v>
      </c>
      <c r="H79" s="67"/>
      <c r="I79" s="67"/>
      <c r="J79" s="67"/>
      <c r="K79" s="67"/>
      <c r="L79" s="67"/>
      <c r="M79" s="67"/>
      <c r="N79" s="67"/>
      <c r="O79" s="67"/>
      <c r="P79" s="67"/>
      <c r="Q79" s="67"/>
      <c r="R79" s="67"/>
      <c r="S79" s="67"/>
    </row>
    <row r="80" spans="1:19">
      <c r="A80" s="54" t="s">
        <v>266</v>
      </c>
      <c r="B80" s="67">
        <f>SUMIFS('Safeguard facility data'!BB$4:BB$312,'Safeguard facility data'!$Q$4:$Q$312,$A80,'Safeguard facility data'!BB$4:BB$312,"&gt;0")</f>
        <v>0</v>
      </c>
      <c r="C80" s="67">
        <f>SUMIFS('Safeguard facility data'!BC$4:BC$312,'Safeguard facility data'!$Q$4:$Q$312,$A80,'Safeguard facility data'!BC$4:BC$312,"&gt;0")</f>
        <v>0</v>
      </c>
      <c r="D80" s="67">
        <f>SUMIFS('Safeguard facility data'!BD$4:BD$312,'Safeguard facility data'!$Q$4:$Q$312,$A80,'Safeguard facility data'!BD$4:BD$312,"&gt;0")</f>
        <v>0</v>
      </c>
      <c r="E80" s="67">
        <f>SUMIFS('Safeguard facility data'!BE$4:BE$312,'Safeguard facility data'!$Q$4:$Q$312,$A80,'Safeguard facility data'!BE$4:BE$312,"&gt;0")</f>
        <v>0</v>
      </c>
      <c r="F80" s="67">
        <f>SUMIFS('Safeguard facility data'!BF$4:BF$312,'Safeguard facility data'!$Q$4:$Q$312,$A80,'Safeguard facility data'!BF$4:BF$312,"&gt;0")</f>
        <v>0</v>
      </c>
      <c r="G80" s="67">
        <f t="shared" si="3"/>
        <v>0</v>
      </c>
      <c r="H80" s="67"/>
      <c r="I80" s="67"/>
      <c r="J80" s="67"/>
      <c r="K80" s="67"/>
      <c r="L80" s="67"/>
      <c r="M80" s="67"/>
      <c r="N80" s="67"/>
      <c r="O80" s="67"/>
      <c r="P80" s="67"/>
      <c r="Q80" s="67"/>
      <c r="R80" s="67"/>
      <c r="S80" s="67"/>
    </row>
    <row r="81" spans="1:19">
      <c r="A81" s="54" t="s">
        <v>238</v>
      </c>
      <c r="B81" s="67">
        <f>SUMIFS('Safeguard facility data'!BB$4:BB$312,'Safeguard facility data'!$Q$4:$Q$312,$A81,'Safeguard facility data'!BB$4:BB$312,"&gt;0")</f>
        <v>0</v>
      </c>
      <c r="C81" s="67">
        <f>SUMIFS('Safeguard facility data'!BC$4:BC$312,'Safeguard facility data'!$Q$4:$Q$312,$A81,'Safeguard facility data'!BC$4:BC$312,"&gt;0")</f>
        <v>0</v>
      </c>
      <c r="D81" s="67">
        <f>SUMIFS('Safeguard facility data'!BD$4:BD$312,'Safeguard facility data'!$Q$4:$Q$312,$A81,'Safeguard facility data'!BD$4:BD$312,"&gt;0")</f>
        <v>0</v>
      </c>
      <c r="E81" s="67">
        <f>SUMIFS('Safeguard facility data'!BE$4:BE$312,'Safeguard facility data'!$Q$4:$Q$312,$A81,'Safeguard facility data'!BE$4:BE$312,"&gt;0")</f>
        <v>0</v>
      </c>
      <c r="F81" s="67">
        <f>SUMIFS('Safeguard facility data'!BF$4:BF$312,'Safeguard facility data'!$Q$4:$Q$312,$A81,'Safeguard facility data'!BF$4:BF$312,"&gt;0")</f>
        <v>0</v>
      </c>
      <c r="G81" s="67">
        <f t="shared" si="3"/>
        <v>0</v>
      </c>
      <c r="H81" s="67"/>
      <c r="I81" s="67"/>
      <c r="J81" s="67"/>
      <c r="K81" s="67"/>
      <c r="L81" s="67"/>
      <c r="M81" s="67"/>
      <c r="N81" s="67"/>
      <c r="O81" s="67"/>
      <c r="P81" s="67"/>
      <c r="Q81" s="67"/>
      <c r="R81" s="67"/>
      <c r="S81" s="67"/>
    </row>
    <row r="82" spans="1:19">
      <c r="A82" s="54" t="s">
        <v>239</v>
      </c>
      <c r="B82" s="67">
        <f>SUMIFS('Safeguard facility data'!BB$4:BB$312,'Safeguard facility data'!$Q$4:$Q$312,$A82,'Safeguard facility data'!BB$4:BB$312,"&gt;0")</f>
        <v>0</v>
      </c>
      <c r="C82" s="67">
        <f>SUMIFS('Safeguard facility data'!BC$4:BC$312,'Safeguard facility data'!$Q$4:$Q$312,$A82,'Safeguard facility data'!BC$4:BC$312,"&gt;0")</f>
        <v>0</v>
      </c>
      <c r="D82" s="67">
        <f>SUMIFS('Safeguard facility data'!BD$4:BD$312,'Safeguard facility data'!$Q$4:$Q$312,$A82,'Safeguard facility data'!BD$4:BD$312,"&gt;0")</f>
        <v>0</v>
      </c>
      <c r="E82" s="67">
        <f>SUMIFS('Safeguard facility data'!BE$4:BE$312,'Safeguard facility data'!$Q$4:$Q$312,$A82,'Safeguard facility data'!BE$4:BE$312,"&gt;0")</f>
        <v>0</v>
      </c>
      <c r="F82" s="67">
        <f>SUMIFS('Safeguard facility data'!BF$4:BF$312,'Safeguard facility data'!$Q$4:$Q$312,$A82,'Safeguard facility data'!BF$4:BF$312,"&gt;0")</f>
        <v>0</v>
      </c>
      <c r="G82" s="67">
        <f t="shared" si="3"/>
        <v>0</v>
      </c>
      <c r="H82" s="67"/>
      <c r="I82" s="67"/>
      <c r="J82" s="67"/>
      <c r="K82" s="67"/>
      <c r="L82" s="67"/>
      <c r="M82" s="67"/>
      <c r="N82" s="67"/>
      <c r="O82" s="67"/>
      <c r="P82" s="67"/>
      <c r="Q82" s="67"/>
      <c r="R82" s="67"/>
      <c r="S82" s="67"/>
    </row>
    <row r="83" spans="1:19">
      <c r="A83" s="54" t="s">
        <v>264</v>
      </c>
      <c r="B83" s="67">
        <f>SUMIFS('Safeguard facility data'!BB$4:BB$312,'Safeguard facility data'!$Q$4:$Q$312,$A83,'Safeguard facility data'!BB$4:BB$312,"&gt;0")</f>
        <v>0</v>
      </c>
      <c r="C83" s="67">
        <f>SUMIFS('Safeguard facility data'!BC$4:BC$312,'Safeguard facility data'!$Q$4:$Q$312,$A83,'Safeguard facility data'!BC$4:BC$312,"&gt;0")</f>
        <v>0</v>
      </c>
      <c r="D83" s="67">
        <f>SUMIFS('Safeguard facility data'!BD$4:BD$312,'Safeguard facility data'!$Q$4:$Q$312,$A83,'Safeguard facility data'!BD$4:BD$312,"&gt;0")</f>
        <v>0</v>
      </c>
      <c r="E83" s="67">
        <f>SUMIFS('Safeguard facility data'!BE$4:BE$312,'Safeguard facility data'!$Q$4:$Q$312,$A83,'Safeguard facility data'!BE$4:BE$312,"&gt;0")</f>
        <v>0</v>
      </c>
      <c r="F83" s="67">
        <f>SUMIFS('Safeguard facility data'!BF$4:BF$312,'Safeguard facility data'!$Q$4:$Q$312,$A83,'Safeguard facility data'!BF$4:BF$312,"&gt;0")</f>
        <v>0</v>
      </c>
      <c r="G83" s="67">
        <f t="shared" si="3"/>
        <v>0</v>
      </c>
      <c r="H83" s="67"/>
      <c r="I83" s="67"/>
      <c r="J83" s="67"/>
      <c r="K83" s="67"/>
      <c r="L83" s="67"/>
      <c r="M83" s="67"/>
      <c r="N83" s="67"/>
      <c r="O83" s="67"/>
      <c r="P83" s="67"/>
      <c r="Q83" s="67"/>
      <c r="R83" s="67"/>
      <c r="S83" s="67"/>
    </row>
    <row r="84" spans="1:19">
      <c r="A84" s="54" t="s">
        <v>164</v>
      </c>
      <c r="B84" s="67">
        <f>SUMIFS('Safeguard facility data'!BB$4:BB$312,'Safeguard facility data'!$Q$4:$Q$312,$A84,'Safeguard facility data'!BB$4:BB$312,"&gt;0")</f>
        <v>0</v>
      </c>
      <c r="C84" s="67">
        <f>SUMIFS('Safeguard facility data'!BC$4:BC$312,'Safeguard facility data'!$Q$4:$Q$312,$A84,'Safeguard facility data'!BC$4:BC$312,"&gt;0")</f>
        <v>0</v>
      </c>
      <c r="D84" s="67">
        <f>SUMIFS('Safeguard facility data'!BD$4:BD$312,'Safeguard facility data'!$Q$4:$Q$312,$A84,'Safeguard facility data'!BD$4:BD$312,"&gt;0")</f>
        <v>0</v>
      </c>
      <c r="E84" s="67">
        <f>SUMIFS('Safeguard facility data'!BE$4:BE$312,'Safeguard facility data'!$Q$4:$Q$312,$A84,'Safeguard facility data'!BE$4:BE$312,"&gt;0")</f>
        <v>0</v>
      </c>
      <c r="F84" s="67">
        <f>SUMIFS('Safeguard facility data'!BF$4:BF$312,'Safeguard facility data'!$Q$4:$Q$312,$A84,'Safeguard facility data'!BF$4:BF$312,"&gt;0")</f>
        <v>0</v>
      </c>
      <c r="G84" s="67">
        <f t="shared" si="3"/>
        <v>0</v>
      </c>
      <c r="H84" s="67"/>
      <c r="I84" s="67"/>
      <c r="J84" s="67"/>
      <c r="K84" s="67"/>
      <c r="L84" s="67"/>
      <c r="M84" s="67"/>
      <c r="N84" s="67"/>
      <c r="O84" s="67"/>
      <c r="P84" s="67"/>
      <c r="Q84" s="67"/>
      <c r="R84" s="67"/>
      <c r="S84" s="67"/>
    </row>
    <row r="85" spans="1:19">
      <c r="A85" s="54" t="s">
        <v>240</v>
      </c>
      <c r="B85" s="67">
        <f>SUMIFS('Safeguard facility data'!BB$4:BB$312,'Safeguard facility data'!$Q$4:$Q$312,$A85,'Safeguard facility data'!BB$4:BB$312,"&gt;0")</f>
        <v>0</v>
      </c>
      <c r="C85" s="67">
        <f>SUMIFS('Safeguard facility data'!BC$4:BC$312,'Safeguard facility data'!$Q$4:$Q$312,$A85,'Safeguard facility data'!BC$4:BC$312,"&gt;0")</f>
        <v>0</v>
      </c>
      <c r="D85" s="67">
        <f>SUMIFS('Safeguard facility data'!BD$4:BD$312,'Safeguard facility data'!$Q$4:$Q$312,$A85,'Safeguard facility data'!BD$4:BD$312,"&gt;0")</f>
        <v>0</v>
      </c>
      <c r="E85" s="67">
        <f>SUMIFS('Safeguard facility data'!BE$4:BE$312,'Safeguard facility data'!$Q$4:$Q$312,$A85,'Safeguard facility data'!BE$4:BE$312,"&gt;0")</f>
        <v>0</v>
      </c>
      <c r="F85" s="67">
        <f>SUMIFS('Safeguard facility data'!BF$4:BF$312,'Safeguard facility data'!$Q$4:$Q$312,$A85,'Safeguard facility data'!BF$4:BF$312,"&gt;0")</f>
        <v>0</v>
      </c>
      <c r="G85" s="67">
        <f t="shared" si="3"/>
        <v>0</v>
      </c>
      <c r="H85" s="67"/>
      <c r="I85" s="67"/>
      <c r="J85" s="67"/>
      <c r="K85" s="67"/>
      <c r="L85" s="67"/>
      <c r="M85" s="67"/>
      <c r="N85" s="67"/>
      <c r="O85" s="67"/>
      <c r="P85" s="67"/>
      <c r="Q85" s="67"/>
      <c r="R85" s="67"/>
      <c r="S85" s="67"/>
    </row>
    <row r="86" spans="1:19">
      <c r="A86" s="54" t="s">
        <v>165</v>
      </c>
      <c r="B86" s="67">
        <f>SUMIFS('Safeguard facility data'!BB$4:BB$312,'Safeguard facility data'!$Q$4:$Q$312,$A86,'Safeguard facility data'!BB$4:BB$312,"&gt;0")</f>
        <v>0</v>
      </c>
      <c r="C86" s="67">
        <f>SUMIFS('Safeguard facility data'!BC$4:BC$312,'Safeguard facility data'!$Q$4:$Q$312,$A86,'Safeguard facility data'!BC$4:BC$312,"&gt;0")</f>
        <v>0</v>
      </c>
      <c r="D86" s="67">
        <f>SUMIFS('Safeguard facility data'!BD$4:BD$312,'Safeguard facility data'!$Q$4:$Q$312,$A86,'Safeguard facility data'!BD$4:BD$312,"&gt;0")</f>
        <v>0</v>
      </c>
      <c r="E86" s="67">
        <f>SUMIFS('Safeguard facility data'!BE$4:BE$312,'Safeguard facility data'!$Q$4:$Q$312,$A86,'Safeguard facility data'!BE$4:BE$312,"&gt;0")</f>
        <v>0</v>
      </c>
      <c r="F86" s="67">
        <f>SUMIFS('Safeguard facility data'!BF$4:BF$312,'Safeguard facility data'!$Q$4:$Q$312,$A86,'Safeguard facility data'!BF$4:BF$312,"&gt;0")</f>
        <v>0</v>
      </c>
      <c r="G86" s="67">
        <f t="shared" si="3"/>
        <v>0</v>
      </c>
      <c r="H86" s="67"/>
      <c r="I86" s="67"/>
      <c r="J86" s="67"/>
      <c r="K86" s="67"/>
      <c r="L86" s="67"/>
      <c r="M86" s="67"/>
      <c r="N86" s="67"/>
      <c r="O86" s="67"/>
      <c r="P86" s="67"/>
      <c r="Q86" s="67"/>
      <c r="R86" s="67"/>
      <c r="S86" s="67"/>
    </row>
    <row r="87" spans="1:19">
      <c r="A87" s="54" t="s">
        <v>129</v>
      </c>
      <c r="B87" s="67">
        <f>SUMIFS('Safeguard facility data'!BB$4:BB$312,'Safeguard facility data'!$Q$4:$Q$312,$A87,'Safeguard facility data'!BB$4:BB$312,"&gt;0")</f>
        <v>0</v>
      </c>
      <c r="C87" s="67">
        <f>SUMIFS('Safeguard facility data'!BC$4:BC$312,'Safeguard facility data'!$Q$4:$Q$312,$A87,'Safeguard facility data'!BC$4:BC$312,"&gt;0")</f>
        <v>0</v>
      </c>
      <c r="D87" s="67">
        <f>SUMIFS('Safeguard facility data'!BD$4:BD$312,'Safeguard facility data'!$Q$4:$Q$312,$A87,'Safeguard facility data'!BD$4:BD$312,"&gt;0")</f>
        <v>0</v>
      </c>
      <c r="E87" s="67">
        <f>SUMIFS('Safeguard facility data'!BE$4:BE$312,'Safeguard facility data'!$Q$4:$Q$312,$A87,'Safeguard facility data'!BE$4:BE$312,"&gt;0")</f>
        <v>0</v>
      </c>
      <c r="F87" s="67">
        <f>SUMIFS('Safeguard facility data'!BF$4:BF$312,'Safeguard facility data'!$Q$4:$Q$312,$A87,'Safeguard facility data'!BF$4:BF$312,"&gt;0")</f>
        <v>0</v>
      </c>
      <c r="G87" s="67">
        <f t="shared" si="3"/>
        <v>0</v>
      </c>
      <c r="H87" s="67"/>
      <c r="I87" s="67"/>
      <c r="J87" s="67"/>
      <c r="K87" s="67"/>
      <c r="L87" s="67"/>
      <c r="M87" s="67"/>
      <c r="N87" s="67"/>
      <c r="O87" s="67"/>
      <c r="P87" s="67"/>
      <c r="Q87" s="67"/>
      <c r="R87" s="67"/>
      <c r="S87" s="67"/>
    </row>
    <row r="88" spans="1:19">
      <c r="A88" s="54" t="s">
        <v>166</v>
      </c>
      <c r="B88" s="67">
        <f>SUMIFS('Safeguard facility data'!BB$4:BB$312,'Safeguard facility data'!$Q$4:$Q$312,$A88,'Safeguard facility data'!BB$4:BB$312,"&gt;0")</f>
        <v>0</v>
      </c>
      <c r="C88" s="67">
        <f>SUMIFS('Safeguard facility data'!BC$4:BC$312,'Safeguard facility data'!$Q$4:$Q$312,$A88,'Safeguard facility data'!BC$4:BC$312,"&gt;0")</f>
        <v>0</v>
      </c>
      <c r="D88" s="67">
        <f>SUMIFS('Safeguard facility data'!BD$4:BD$312,'Safeguard facility data'!$Q$4:$Q$312,$A88,'Safeguard facility data'!BD$4:BD$312,"&gt;0")</f>
        <v>0</v>
      </c>
      <c r="E88" s="67">
        <f>SUMIFS('Safeguard facility data'!BE$4:BE$312,'Safeguard facility data'!$Q$4:$Q$312,$A88,'Safeguard facility data'!BE$4:BE$312,"&gt;0")</f>
        <v>0</v>
      </c>
      <c r="F88" s="67">
        <f>SUMIFS('Safeguard facility data'!BF$4:BF$312,'Safeguard facility data'!$Q$4:$Q$312,$A88,'Safeguard facility data'!BF$4:BF$312,"&gt;0")</f>
        <v>0</v>
      </c>
      <c r="G88" s="67">
        <f t="shared" si="3"/>
        <v>0</v>
      </c>
      <c r="H88" s="67"/>
      <c r="I88" s="67"/>
      <c r="J88" s="67"/>
      <c r="K88" s="67"/>
      <c r="L88" s="67"/>
      <c r="M88" s="67"/>
      <c r="N88" s="67"/>
      <c r="O88" s="67"/>
      <c r="P88" s="67"/>
      <c r="Q88" s="67"/>
      <c r="R88" s="67"/>
      <c r="S88" s="67"/>
    </row>
    <row r="89" spans="1:19">
      <c r="A89" s="54" t="s">
        <v>241</v>
      </c>
      <c r="B89" s="67">
        <f>SUMIFS('Safeguard facility data'!BB$4:BB$312,'Safeguard facility data'!$Q$4:$Q$312,$A89,'Safeguard facility data'!BB$4:BB$312,"&gt;0")</f>
        <v>0</v>
      </c>
      <c r="C89" s="67">
        <f>SUMIFS('Safeguard facility data'!BC$4:BC$312,'Safeguard facility data'!$Q$4:$Q$312,$A89,'Safeguard facility data'!BC$4:BC$312,"&gt;0")</f>
        <v>0</v>
      </c>
      <c r="D89" s="67">
        <f>SUMIFS('Safeguard facility data'!BD$4:BD$312,'Safeguard facility data'!$Q$4:$Q$312,$A89,'Safeguard facility data'!BD$4:BD$312,"&gt;0")</f>
        <v>0</v>
      </c>
      <c r="E89" s="67">
        <f>SUMIFS('Safeguard facility data'!BE$4:BE$312,'Safeguard facility data'!$Q$4:$Q$312,$A89,'Safeguard facility data'!BE$4:BE$312,"&gt;0")</f>
        <v>0</v>
      </c>
      <c r="F89" s="67">
        <f>SUMIFS('Safeguard facility data'!BF$4:BF$312,'Safeguard facility data'!$Q$4:$Q$312,$A89,'Safeguard facility data'!BF$4:BF$312,"&gt;0")</f>
        <v>0</v>
      </c>
      <c r="G89" s="67">
        <f t="shared" si="3"/>
        <v>0</v>
      </c>
      <c r="H89" s="67"/>
      <c r="I89" s="67"/>
      <c r="J89" s="67"/>
      <c r="K89" s="67"/>
      <c r="L89" s="67"/>
      <c r="M89" s="67"/>
      <c r="N89" s="67"/>
      <c r="O89" s="67"/>
      <c r="P89" s="67"/>
      <c r="Q89" s="67"/>
      <c r="R89" s="67"/>
      <c r="S89" s="67"/>
    </row>
    <row r="90" spans="1:19">
      <c r="A90" s="54" t="s">
        <v>167</v>
      </c>
      <c r="B90" s="67">
        <f>SUMIFS('Safeguard facility data'!BB$4:BB$312,'Safeguard facility data'!$Q$4:$Q$312,$A90,'Safeguard facility data'!BB$4:BB$312,"&gt;0")</f>
        <v>0</v>
      </c>
      <c r="C90" s="67">
        <f>SUMIFS('Safeguard facility data'!BC$4:BC$312,'Safeguard facility data'!$Q$4:$Q$312,$A90,'Safeguard facility data'!BC$4:BC$312,"&gt;0")</f>
        <v>0</v>
      </c>
      <c r="D90" s="67">
        <f>SUMIFS('Safeguard facility data'!BD$4:BD$312,'Safeguard facility data'!$Q$4:$Q$312,$A90,'Safeguard facility data'!BD$4:BD$312,"&gt;0")</f>
        <v>0</v>
      </c>
      <c r="E90" s="67">
        <f>SUMIFS('Safeguard facility data'!BE$4:BE$312,'Safeguard facility data'!$Q$4:$Q$312,$A90,'Safeguard facility data'!BE$4:BE$312,"&gt;0")</f>
        <v>0</v>
      </c>
      <c r="F90" s="67">
        <f>SUMIFS('Safeguard facility data'!BF$4:BF$312,'Safeguard facility data'!$Q$4:$Q$312,$A90,'Safeguard facility data'!BF$4:BF$312,"&gt;0")</f>
        <v>0</v>
      </c>
      <c r="G90" s="67">
        <f t="shared" si="3"/>
        <v>0</v>
      </c>
      <c r="H90" s="67"/>
      <c r="I90" s="67"/>
      <c r="J90" s="67"/>
      <c r="K90" s="67"/>
      <c r="L90" s="67"/>
      <c r="M90" s="67"/>
      <c r="N90" s="67"/>
      <c r="O90" s="67"/>
      <c r="P90" s="67"/>
      <c r="Q90" s="67"/>
      <c r="R90" s="67"/>
      <c r="S90" s="67"/>
    </row>
    <row r="91" spans="1:19">
      <c r="A91" s="54" t="s">
        <v>242</v>
      </c>
      <c r="B91" s="67">
        <f>SUMIFS('Safeguard facility data'!BB$4:BB$312,'Safeguard facility data'!$Q$4:$Q$312,$A91,'Safeguard facility data'!BB$4:BB$312,"&gt;0")</f>
        <v>0</v>
      </c>
      <c r="C91" s="67">
        <f>SUMIFS('Safeguard facility data'!BC$4:BC$312,'Safeguard facility data'!$Q$4:$Q$312,$A91,'Safeguard facility data'!BC$4:BC$312,"&gt;0")</f>
        <v>0</v>
      </c>
      <c r="D91" s="67">
        <f>SUMIFS('Safeguard facility data'!BD$4:BD$312,'Safeguard facility data'!$Q$4:$Q$312,$A91,'Safeguard facility data'!BD$4:BD$312,"&gt;0")</f>
        <v>0</v>
      </c>
      <c r="E91" s="67">
        <f>SUMIFS('Safeguard facility data'!BE$4:BE$312,'Safeguard facility data'!$Q$4:$Q$312,$A91,'Safeguard facility data'!BE$4:BE$312,"&gt;0")</f>
        <v>0</v>
      </c>
      <c r="F91" s="67">
        <f>SUMIFS('Safeguard facility data'!BF$4:BF$312,'Safeguard facility data'!$Q$4:$Q$312,$A91,'Safeguard facility data'!BF$4:BF$312,"&gt;0")</f>
        <v>0</v>
      </c>
      <c r="G91" s="67">
        <f t="shared" si="3"/>
        <v>0</v>
      </c>
      <c r="H91" s="67"/>
      <c r="I91" s="67"/>
      <c r="J91" s="67"/>
      <c r="K91" s="67"/>
      <c r="L91" s="67"/>
      <c r="M91" s="67"/>
      <c r="N91" s="67"/>
      <c r="O91" s="67"/>
      <c r="P91" s="67"/>
      <c r="Q91" s="67"/>
      <c r="R91" s="67"/>
      <c r="S91" s="67"/>
    </row>
    <row r="92" spans="1:19">
      <c r="A92" s="54" t="s">
        <v>168</v>
      </c>
      <c r="B92" s="67">
        <f>SUMIFS('Safeguard facility data'!BB$4:BB$312,'Safeguard facility data'!$Q$4:$Q$312,$A92,'Safeguard facility data'!BB$4:BB$312,"&gt;0")</f>
        <v>0</v>
      </c>
      <c r="C92" s="67">
        <f>SUMIFS('Safeguard facility data'!BC$4:BC$312,'Safeguard facility data'!$Q$4:$Q$312,$A92,'Safeguard facility data'!BC$4:BC$312,"&gt;0")</f>
        <v>0</v>
      </c>
      <c r="D92" s="67">
        <f>SUMIFS('Safeguard facility data'!BD$4:BD$312,'Safeguard facility data'!$Q$4:$Q$312,$A92,'Safeguard facility data'!BD$4:BD$312,"&gt;0")</f>
        <v>0</v>
      </c>
      <c r="E92" s="67">
        <f>SUMIFS('Safeguard facility data'!BE$4:BE$312,'Safeguard facility data'!$Q$4:$Q$312,$A92,'Safeguard facility data'!BE$4:BE$312,"&gt;0")</f>
        <v>0</v>
      </c>
      <c r="F92" s="67">
        <f>SUMIFS('Safeguard facility data'!BF$4:BF$312,'Safeguard facility data'!$Q$4:$Q$312,$A92,'Safeguard facility data'!BF$4:BF$312,"&gt;0")</f>
        <v>0</v>
      </c>
      <c r="G92" s="67">
        <f t="shared" si="3"/>
        <v>0</v>
      </c>
      <c r="H92" s="67"/>
      <c r="I92" s="67"/>
      <c r="J92" s="67"/>
      <c r="K92" s="67"/>
      <c r="L92" s="67"/>
      <c r="M92" s="67"/>
      <c r="N92" s="67"/>
      <c r="O92" s="67"/>
      <c r="P92" s="67"/>
      <c r="Q92" s="67"/>
      <c r="R92" s="67"/>
      <c r="S92" s="67"/>
    </row>
    <row r="93" spans="1:19">
      <c r="A93" s="54" t="s">
        <v>243</v>
      </c>
      <c r="B93" s="67">
        <f>SUMIFS('Safeguard facility data'!BB$4:BB$312,'Safeguard facility data'!$Q$4:$Q$312,$A93,'Safeguard facility data'!BB$4:BB$312,"&gt;0")</f>
        <v>0</v>
      </c>
      <c r="C93" s="67">
        <f>SUMIFS('Safeguard facility data'!BC$4:BC$312,'Safeguard facility data'!$Q$4:$Q$312,$A93,'Safeguard facility data'!BC$4:BC$312,"&gt;0")</f>
        <v>0</v>
      </c>
      <c r="D93" s="67">
        <f>SUMIFS('Safeguard facility data'!BD$4:BD$312,'Safeguard facility data'!$Q$4:$Q$312,$A93,'Safeguard facility data'!BD$4:BD$312,"&gt;0")</f>
        <v>0</v>
      </c>
      <c r="E93" s="67">
        <f>SUMIFS('Safeguard facility data'!BE$4:BE$312,'Safeguard facility data'!$Q$4:$Q$312,$A93,'Safeguard facility data'!BE$4:BE$312,"&gt;0")</f>
        <v>0</v>
      </c>
      <c r="F93" s="67">
        <f>SUMIFS('Safeguard facility data'!BF$4:BF$312,'Safeguard facility data'!$Q$4:$Q$312,$A93,'Safeguard facility data'!BF$4:BF$312,"&gt;0")</f>
        <v>0</v>
      </c>
      <c r="G93" s="67">
        <f t="shared" si="3"/>
        <v>0</v>
      </c>
      <c r="H93" s="67"/>
      <c r="I93" s="67"/>
      <c r="J93" s="67"/>
      <c r="K93" s="67"/>
      <c r="L93" s="67"/>
      <c r="M93" s="67"/>
      <c r="N93" s="67"/>
      <c r="O93" s="67"/>
      <c r="P93" s="67"/>
      <c r="Q93" s="67"/>
      <c r="R93" s="67"/>
      <c r="S93" s="67"/>
    </row>
    <row r="94" spans="1:19">
      <c r="A94" s="54" t="s">
        <v>169</v>
      </c>
      <c r="B94" s="67">
        <f>SUMIFS('Safeguard facility data'!BB$4:BB$312,'Safeguard facility data'!$Q$4:$Q$312,$A94,'Safeguard facility data'!BB$4:BB$312,"&gt;0")</f>
        <v>0</v>
      </c>
      <c r="C94" s="67">
        <f>SUMIFS('Safeguard facility data'!BC$4:BC$312,'Safeguard facility data'!$Q$4:$Q$312,$A94,'Safeguard facility data'!BC$4:BC$312,"&gt;0")</f>
        <v>0</v>
      </c>
      <c r="D94" s="67">
        <f>SUMIFS('Safeguard facility data'!BD$4:BD$312,'Safeguard facility data'!$Q$4:$Q$312,$A94,'Safeguard facility data'!BD$4:BD$312,"&gt;0")</f>
        <v>0</v>
      </c>
      <c r="E94" s="67">
        <f>SUMIFS('Safeguard facility data'!BE$4:BE$312,'Safeguard facility data'!$Q$4:$Q$312,$A94,'Safeguard facility data'!BE$4:BE$312,"&gt;0")</f>
        <v>0</v>
      </c>
      <c r="F94" s="67">
        <f>SUMIFS('Safeguard facility data'!BF$4:BF$312,'Safeguard facility data'!$Q$4:$Q$312,$A94,'Safeguard facility data'!BF$4:BF$312,"&gt;0")</f>
        <v>0</v>
      </c>
      <c r="G94" s="67">
        <f t="shared" si="3"/>
        <v>0</v>
      </c>
      <c r="H94" s="67"/>
      <c r="I94" s="67"/>
      <c r="J94" s="67"/>
      <c r="K94" s="67"/>
      <c r="L94" s="67"/>
      <c r="M94" s="67"/>
      <c r="N94" s="67"/>
      <c r="O94" s="67"/>
      <c r="P94" s="67"/>
      <c r="Q94" s="67"/>
      <c r="R94" s="67"/>
      <c r="S94" s="67"/>
    </row>
    <row r="95" spans="1:19">
      <c r="A95" s="54" t="s">
        <v>244</v>
      </c>
      <c r="B95" s="67">
        <f>SUMIFS('Safeguard facility data'!BB$4:BB$312,'Safeguard facility data'!$Q$4:$Q$312,$A95,'Safeguard facility data'!BB$4:BB$312,"&gt;0")</f>
        <v>0</v>
      </c>
      <c r="C95" s="67">
        <f>SUMIFS('Safeguard facility data'!BC$4:BC$312,'Safeguard facility data'!$Q$4:$Q$312,$A95,'Safeguard facility data'!BC$4:BC$312,"&gt;0")</f>
        <v>0</v>
      </c>
      <c r="D95" s="67">
        <f>SUMIFS('Safeguard facility data'!BD$4:BD$312,'Safeguard facility data'!$Q$4:$Q$312,$A95,'Safeguard facility data'!BD$4:BD$312,"&gt;0")</f>
        <v>0</v>
      </c>
      <c r="E95" s="67">
        <f>SUMIFS('Safeguard facility data'!BE$4:BE$312,'Safeguard facility data'!$Q$4:$Q$312,$A95,'Safeguard facility data'!BE$4:BE$312,"&gt;0")</f>
        <v>0</v>
      </c>
      <c r="F95" s="67">
        <f>SUMIFS('Safeguard facility data'!BF$4:BF$312,'Safeguard facility data'!$Q$4:$Q$312,$A95,'Safeguard facility data'!BF$4:BF$312,"&gt;0")</f>
        <v>0</v>
      </c>
      <c r="G95" s="67">
        <f t="shared" si="3"/>
        <v>0</v>
      </c>
      <c r="H95" s="67"/>
      <c r="I95" s="67"/>
      <c r="J95" s="67"/>
      <c r="K95" s="67"/>
      <c r="L95" s="67"/>
      <c r="M95" s="67"/>
      <c r="N95" s="67"/>
      <c r="O95" s="67"/>
      <c r="P95" s="67"/>
      <c r="Q95" s="67"/>
      <c r="R95" s="67"/>
      <c r="S95" s="67"/>
    </row>
    <row r="96" spans="1:19">
      <c r="A96" s="54" t="s">
        <v>245</v>
      </c>
      <c r="B96" s="67">
        <f>SUMIFS('Safeguard facility data'!BB$4:BB$312,'Safeguard facility data'!$Q$4:$Q$312,$A96,'Safeguard facility data'!BB$4:BB$312,"&gt;0")</f>
        <v>0</v>
      </c>
      <c r="C96" s="67">
        <f>SUMIFS('Safeguard facility data'!BC$4:BC$312,'Safeguard facility data'!$Q$4:$Q$312,$A96,'Safeguard facility data'!BC$4:BC$312,"&gt;0")</f>
        <v>0</v>
      </c>
      <c r="D96" s="67">
        <f>SUMIFS('Safeguard facility data'!BD$4:BD$312,'Safeguard facility data'!$Q$4:$Q$312,$A96,'Safeguard facility data'!BD$4:BD$312,"&gt;0")</f>
        <v>0</v>
      </c>
      <c r="E96" s="67">
        <f>SUMIFS('Safeguard facility data'!BE$4:BE$312,'Safeguard facility data'!$Q$4:$Q$312,$A96,'Safeguard facility data'!BE$4:BE$312,"&gt;0")</f>
        <v>0</v>
      </c>
      <c r="F96" s="67">
        <f>SUMIFS('Safeguard facility data'!BF$4:BF$312,'Safeguard facility data'!$Q$4:$Q$312,$A96,'Safeguard facility data'!BF$4:BF$312,"&gt;0")</f>
        <v>0</v>
      </c>
      <c r="G96" s="67">
        <f t="shared" si="3"/>
        <v>0</v>
      </c>
      <c r="H96" s="67"/>
      <c r="I96" s="67"/>
      <c r="J96" s="67"/>
      <c r="K96" s="67"/>
      <c r="L96" s="67"/>
      <c r="M96" s="67"/>
      <c r="N96" s="67"/>
      <c r="O96" s="67"/>
      <c r="P96" s="67"/>
      <c r="Q96" s="67"/>
      <c r="R96" s="67"/>
      <c r="S96" s="67"/>
    </row>
    <row r="97" spans="1:19">
      <c r="A97" s="54" t="s">
        <v>267</v>
      </c>
      <c r="B97" s="67">
        <f>SUMIFS('Safeguard facility data'!BB$4:BB$312,'Safeguard facility data'!$Q$4:$Q$312,$A97,'Safeguard facility data'!BB$4:BB$312,"&gt;0")</f>
        <v>0</v>
      </c>
      <c r="C97" s="67">
        <f>SUMIFS('Safeguard facility data'!BC$4:BC$312,'Safeguard facility data'!$Q$4:$Q$312,$A97,'Safeguard facility data'!BC$4:BC$312,"&gt;0")</f>
        <v>0</v>
      </c>
      <c r="D97" s="67">
        <f>SUMIFS('Safeguard facility data'!BD$4:BD$312,'Safeguard facility data'!$Q$4:$Q$312,$A97,'Safeguard facility data'!BD$4:BD$312,"&gt;0")</f>
        <v>0</v>
      </c>
      <c r="E97" s="67">
        <f>SUMIFS('Safeguard facility data'!BE$4:BE$312,'Safeguard facility data'!$Q$4:$Q$312,$A97,'Safeguard facility data'!BE$4:BE$312,"&gt;0")</f>
        <v>0</v>
      </c>
      <c r="F97" s="67">
        <f>SUMIFS('Safeguard facility data'!BF$4:BF$312,'Safeguard facility data'!$Q$4:$Q$312,$A97,'Safeguard facility data'!BF$4:BF$312,"&gt;0")</f>
        <v>0</v>
      </c>
      <c r="G97" s="67">
        <f t="shared" si="3"/>
        <v>0</v>
      </c>
      <c r="H97" s="67"/>
      <c r="I97" s="67"/>
      <c r="J97" s="67"/>
      <c r="K97" s="67"/>
      <c r="L97" s="67"/>
      <c r="M97" s="67"/>
      <c r="N97" s="67"/>
      <c r="O97" s="67"/>
      <c r="P97" s="67"/>
      <c r="Q97" s="67"/>
      <c r="R97" s="67"/>
      <c r="S97" s="67"/>
    </row>
    <row r="98" spans="1:19">
      <c r="A98" s="54" t="s">
        <v>269</v>
      </c>
      <c r="B98" s="67">
        <f>SUMIFS('Safeguard facility data'!BB$4:BB$312,'Safeguard facility data'!$Q$4:$Q$312,$A98,'Safeguard facility data'!BB$4:BB$312,"&gt;0")</f>
        <v>0</v>
      </c>
      <c r="C98" s="67">
        <f>SUMIFS('Safeguard facility data'!BC$4:BC$312,'Safeguard facility data'!$Q$4:$Q$312,$A98,'Safeguard facility data'!BC$4:BC$312,"&gt;0")</f>
        <v>0</v>
      </c>
      <c r="D98" s="67">
        <f>SUMIFS('Safeguard facility data'!BD$4:BD$312,'Safeguard facility data'!$Q$4:$Q$312,$A98,'Safeguard facility data'!BD$4:BD$312,"&gt;0")</f>
        <v>0</v>
      </c>
      <c r="E98" s="67">
        <f>SUMIFS('Safeguard facility data'!BE$4:BE$312,'Safeguard facility data'!$Q$4:$Q$312,$A98,'Safeguard facility data'!BE$4:BE$312,"&gt;0")</f>
        <v>0</v>
      </c>
      <c r="F98" s="67">
        <f>SUMIFS('Safeguard facility data'!BF$4:BF$312,'Safeguard facility data'!$Q$4:$Q$312,$A98,'Safeguard facility data'!BF$4:BF$312,"&gt;0")</f>
        <v>0</v>
      </c>
      <c r="G98" s="67">
        <f t="shared" ref="G98:G129" si="4">SUM(B98:F98)</f>
        <v>0</v>
      </c>
      <c r="H98" s="67"/>
      <c r="I98" s="67"/>
      <c r="J98" s="67"/>
      <c r="K98" s="67"/>
      <c r="L98" s="67"/>
      <c r="M98" s="67"/>
      <c r="N98" s="67"/>
      <c r="O98" s="67"/>
      <c r="P98" s="67"/>
      <c r="Q98" s="67"/>
      <c r="R98" s="67"/>
      <c r="S98" s="67"/>
    </row>
    <row r="99" spans="1:19">
      <c r="A99" s="54" t="s">
        <v>170</v>
      </c>
      <c r="B99" s="67">
        <f>SUMIFS('Safeguard facility data'!BB$4:BB$312,'Safeguard facility data'!$Q$4:$Q$312,$A99,'Safeguard facility data'!BB$4:BB$312,"&gt;0")</f>
        <v>0</v>
      </c>
      <c r="C99" s="67">
        <f>SUMIFS('Safeguard facility data'!BC$4:BC$312,'Safeguard facility data'!$Q$4:$Q$312,$A99,'Safeguard facility data'!BC$4:BC$312,"&gt;0")</f>
        <v>0</v>
      </c>
      <c r="D99" s="67">
        <f>SUMIFS('Safeguard facility data'!BD$4:BD$312,'Safeguard facility data'!$Q$4:$Q$312,$A99,'Safeguard facility data'!BD$4:BD$312,"&gt;0")</f>
        <v>0</v>
      </c>
      <c r="E99" s="67">
        <f>SUMIFS('Safeguard facility data'!BE$4:BE$312,'Safeguard facility data'!$Q$4:$Q$312,$A99,'Safeguard facility data'!BE$4:BE$312,"&gt;0")</f>
        <v>0</v>
      </c>
      <c r="F99" s="67">
        <f>SUMIFS('Safeguard facility data'!BF$4:BF$312,'Safeguard facility data'!$Q$4:$Q$312,$A99,'Safeguard facility data'!BF$4:BF$312,"&gt;0")</f>
        <v>0</v>
      </c>
      <c r="G99" s="67">
        <f t="shared" si="4"/>
        <v>0</v>
      </c>
      <c r="H99" s="67"/>
      <c r="I99" s="67"/>
      <c r="J99" s="67"/>
      <c r="K99" s="67"/>
      <c r="L99" s="67"/>
      <c r="M99" s="67"/>
      <c r="N99" s="67"/>
      <c r="O99" s="67"/>
      <c r="P99" s="67"/>
      <c r="Q99" s="67"/>
      <c r="R99" s="67"/>
      <c r="S99" s="67"/>
    </row>
    <row r="100" spans="1:19">
      <c r="A100" s="54" t="s">
        <v>246</v>
      </c>
      <c r="B100" s="67">
        <f>SUMIFS('Safeguard facility data'!BB$4:BB$312,'Safeguard facility data'!$Q$4:$Q$312,$A100,'Safeguard facility data'!BB$4:BB$312,"&gt;0")</f>
        <v>0</v>
      </c>
      <c r="C100" s="67">
        <f>SUMIFS('Safeguard facility data'!BC$4:BC$312,'Safeguard facility data'!$Q$4:$Q$312,$A100,'Safeguard facility data'!BC$4:BC$312,"&gt;0")</f>
        <v>0</v>
      </c>
      <c r="D100" s="67">
        <f>SUMIFS('Safeguard facility data'!BD$4:BD$312,'Safeguard facility data'!$Q$4:$Q$312,$A100,'Safeguard facility data'!BD$4:BD$312,"&gt;0")</f>
        <v>0</v>
      </c>
      <c r="E100" s="67">
        <f>SUMIFS('Safeguard facility data'!BE$4:BE$312,'Safeguard facility data'!$Q$4:$Q$312,$A100,'Safeguard facility data'!BE$4:BE$312,"&gt;0")</f>
        <v>0</v>
      </c>
      <c r="F100" s="67">
        <f>SUMIFS('Safeguard facility data'!BF$4:BF$312,'Safeguard facility data'!$Q$4:$Q$312,$A100,'Safeguard facility data'!BF$4:BF$312,"&gt;0")</f>
        <v>0</v>
      </c>
      <c r="G100" s="67">
        <f t="shared" si="4"/>
        <v>0</v>
      </c>
      <c r="H100" s="67"/>
      <c r="I100" s="67"/>
      <c r="J100" s="67"/>
      <c r="K100" s="67"/>
      <c r="L100" s="67"/>
      <c r="M100" s="67"/>
      <c r="N100" s="67"/>
      <c r="O100" s="67"/>
      <c r="P100" s="67"/>
      <c r="Q100" s="67"/>
      <c r="R100" s="67"/>
      <c r="S100" s="67"/>
    </row>
    <row r="101" spans="1:19">
      <c r="A101" s="54" t="s">
        <v>171</v>
      </c>
      <c r="B101" s="67">
        <f>SUMIFS('Safeguard facility data'!BB$4:BB$312,'Safeguard facility data'!$Q$4:$Q$312,$A101,'Safeguard facility data'!BB$4:BB$312,"&gt;0")</f>
        <v>0</v>
      </c>
      <c r="C101" s="67">
        <f>SUMIFS('Safeguard facility data'!BC$4:BC$312,'Safeguard facility data'!$Q$4:$Q$312,$A101,'Safeguard facility data'!BC$4:BC$312,"&gt;0")</f>
        <v>0</v>
      </c>
      <c r="D101" s="67">
        <f>SUMIFS('Safeguard facility data'!BD$4:BD$312,'Safeguard facility data'!$Q$4:$Q$312,$A101,'Safeguard facility data'!BD$4:BD$312,"&gt;0")</f>
        <v>0</v>
      </c>
      <c r="E101" s="67">
        <f>SUMIFS('Safeguard facility data'!BE$4:BE$312,'Safeguard facility data'!$Q$4:$Q$312,$A101,'Safeguard facility data'!BE$4:BE$312,"&gt;0")</f>
        <v>0</v>
      </c>
      <c r="F101" s="67">
        <f>SUMIFS('Safeguard facility data'!BF$4:BF$312,'Safeguard facility data'!$Q$4:$Q$312,$A101,'Safeguard facility data'!BF$4:BF$312,"&gt;0")</f>
        <v>0</v>
      </c>
      <c r="G101" s="67">
        <f t="shared" si="4"/>
        <v>0</v>
      </c>
      <c r="H101" s="67"/>
      <c r="I101" s="67"/>
      <c r="J101" s="67"/>
      <c r="K101" s="67"/>
      <c r="L101" s="67"/>
      <c r="M101" s="67"/>
      <c r="N101" s="67"/>
      <c r="O101" s="67"/>
      <c r="P101" s="67"/>
      <c r="Q101" s="67"/>
      <c r="R101" s="67"/>
      <c r="S101" s="67"/>
    </row>
    <row r="102" spans="1:19">
      <c r="A102" s="54" t="s">
        <v>172</v>
      </c>
      <c r="B102" s="67">
        <f>SUMIFS('Safeguard facility data'!BB$4:BB$312,'Safeguard facility data'!$Q$4:$Q$312,$A102,'Safeguard facility data'!BB$4:BB$312,"&gt;0")</f>
        <v>0</v>
      </c>
      <c r="C102" s="67">
        <f>SUMIFS('Safeguard facility data'!BC$4:BC$312,'Safeguard facility data'!$Q$4:$Q$312,$A102,'Safeguard facility data'!BC$4:BC$312,"&gt;0")</f>
        <v>0</v>
      </c>
      <c r="D102" s="67">
        <f>SUMIFS('Safeguard facility data'!BD$4:BD$312,'Safeguard facility data'!$Q$4:$Q$312,$A102,'Safeguard facility data'!BD$4:BD$312,"&gt;0")</f>
        <v>0</v>
      </c>
      <c r="E102" s="67">
        <f>SUMIFS('Safeguard facility data'!BE$4:BE$312,'Safeguard facility data'!$Q$4:$Q$312,$A102,'Safeguard facility data'!BE$4:BE$312,"&gt;0")</f>
        <v>0</v>
      </c>
      <c r="F102" s="67">
        <f>SUMIFS('Safeguard facility data'!BF$4:BF$312,'Safeguard facility data'!$Q$4:$Q$312,$A102,'Safeguard facility data'!BF$4:BF$312,"&gt;0")</f>
        <v>0</v>
      </c>
      <c r="G102" s="67">
        <f t="shared" si="4"/>
        <v>0</v>
      </c>
      <c r="H102" s="67"/>
      <c r="I102" s="67"/>
      <c r="J102" s="67"/>
      <c r="K102" s="67"/>
      <c r="L102" s="67"/>
      <c r="M102" s="67"/>
      <c r="N102" s="67"/>
      <c r="O102" s="67"/>
      <c r="P102" s="67"/>
      <c r="Q102" s="67"/>
      <c r="R102" s="67"/>
      <c r="S102" s="67"/>
    </row>
    <row r="103" spans="1:19">
      <c r="A103" s="54" t="s">
        <v>247</v>
      </c>
      <c r="B103" s="67">
        <f>SUMIFS('Safeguard facility data'!BB$4:BB$312,'Safeguard facility data'!$Q$4:$Q$312,$A103,'Safeguard facility data'!BB$4:BB$312,"&gt;0")</f>
        <v>0</v>
      </c>
      <c r="C103" s="67">
        <f>SUMIFS('Safeguard facility data'!BC$4:BC$312,'Safeguard facility data'!$Q$4:$Q$312,$A103,'Safeguard facility data'!BC$4:BC$312,"&gt;0")</f>
        <v>0</v>
      </c>
      <c r="D103" s="67">
        <f>SUMIFS('Safeguard facility data'!BD$4:BD$312,'Safeguard facility data'!$Q$4:$Q$312,$A103,'Safeguard facility data'!BD$4:BD$312,"&gt;0")</f>
        <v>0</v>
      </c>
      <c r="E103" s="67">
        <f>SUMIFS('Safeguard facility data'!BE$4:BE$312,'Safeguard facility data'!$Q$4:$Q$312,$A103,'Safeguard facility data'!BE$4:BE$312,"&gt;0")</f>
        <v>0</v>
      </c>
      <c r="F103" s="67">
        <f>SUMIFS('Safeguard facility data'!BF$4:BF$312,'Safeguard facility data'!$Q$4:$Q$312,$A103,'Safeguard facility data'!BF$4:BF$312,"&gt;0")</f>
        <v>0</v>
      </c>
      <c r="G103" s="67">
        <f t="shared" si="4"/>
        <v>0</v>
      </c>
      <c r="H103" s="67"/>
      <c r="I103" s="67"/>
      <c r="J103" s="67"/>
      <c r="K103" s="67"/>
      <c r="L103" s="67"/>
      <c r="M103" s="67"/>
      <c r="N103" s="67"/>
      <c r="O103" s="67"/>
      <c r="P103" s="67"/>
      <c r="Q103" s="67"/>
      <c r="R103" s="67"/>
      <c r="S103" s="67"/>
    </row>
    <row r="104" spans="1:19">
      <c r="A104" s="54" t="s">
        <v>229</v>
      </c>
      <c r="B104" s="67">
        <f>SUMIFS('Safeguard facility data'!BB$4:BB$312,'Safeguard facility data'!$Q$4:$Q$312,$A104,'Safeguard facility data'!BB$4:BB$312,"&gt;0")</f>
        <v>0</v>
      </c>
      <c r="C104" s="67">
        <f>SUMIFS('Safeguard facility data'!BC$4:BC$312,'Safeguard facility data'!$Q$4:$Q$312,$A104,'Safeguard facility data'!BC$4:BC$312,"&gt;0")</f>
        <v>0</v>
      </c>
      <c r="D104" s="67">
        <f>SUMIFS('Safeguard facility data'!BD$4:BD$312,'Safeguard facility data'!$Q$4:$Q$312,$A104,'Safeguard facility data'!BD$4:BD$312,"&gt;0")</f>
        <v>0</v>
      </c>
      <c r="E104" s="67">
        <f>SUMIFS('Safeguard facility data'!BE$4:BE$312,'Safeguard facility data'!$Q$4:$Q$312,$A104,'Safeguard facility data'!BE$4:BE$312,"&gt;0")</f>
        <v>0</v>
      </c>
      <c r="F104" s="67">
        <f>SUMIFS('Safeguard facility data'!BF$4:BF$312,'Safeguard facility data'!$Q$4:$Q$312,$A104,'Safeguard facility data'!BF$4:BF$312,"&gt;0")</f>
        <v>0</v>
      </c>
      <c r="G104" s="67">
        <f t="shared" si="4"/>
        <v>0</v>
      </c>
      <c r="H104" s="67"/>
      <c r="I104" s="67"/>
      <c r="J104" s="67"/>
      <c r="K104" s="67"/>
      <c r="L104" s="67"/>
      <c r="M104" s="67"/>
      <c r="N104" s="67"/>
      <c r="O104" s="67"/>
      <c r="P104" s="67"/>
      <c r="Q104" s="67"/>
      <c r="R104" s="67"/>
      <c r="S104" s="67"/>
    </row>
    <row r="105" spans="1:19">
      <c r="A105" s="54" t="s">
        <v>173</v>
      </c>
      <c r="B105" s="67">
        <f>SUMIFS('Safeguard facility data'!BB$4:BB$312,'Safeguard facility data'!$Q$4:$Q$312,$A105,'Safeguard facility data'!BB$4:BB$312,"&gt;0")</f>
        <v>0</v>
      </c>
      <c r="C105" s="67">
        <f>SUMIFS('Safeguard facility data'!BC$4:BC$312,'Safeguard facility data'!$Q$4:$Q$312,$A105,'Safeguard facility data'!BC$4:BC$312,"&gt;0")</f>
        <v>0</v>
      </c>
      <c r="D105" s="67">
        <f>SUMIFS('Safeguard facility data'!BD$4:BD$312,'Safeguard facility data'!$Q$4:$Q$312,$A105,'Safeguard facility data'!BD$4:BD$312,"&gt;0")</f>
        <v>0</v>
      </c>
      <c r="E105" s="67">
        <f>SUMIFS('Safeguard facility data'!BE$4:BE$312,'Safeguard facility data'!$Q$4:$Q$312,$A105,'Safeguard facility data'!BE$4:BE$312,"&gt;0")</f>
        <v>0</v>
      </c>
      <c r="F105" s="67">
        <f>SUMIFS('Safeguard facility data'!BF$4:BF$312,'Safeguard facility data'!$Q$4:$Q$312,$A105,'Safeguard facility data'!BF$4:BF$312,"&gt;0")</f>
        <v>0</v>
      </c>
      <c r="G105" s="67">
        <f t="shared" si="4"/>
        <v>0</v>
      </c>
      <c r="H105" s="67"/>
      <c r="I105" s="67"/>
      <c r="J105" s="67"/>
      <c r="K105" s="67"/>
      <c r="L105" s="67"/>
      <c r="M105" s="67"/>
      <c r="N105" s="67"/>
      <c r="O105" s="67"/>
      <c r="P105" s="67"/>
      <c r="Q105" s="67"/>
      <c r="R105" s="67"/>
      <c r="S105" s="67"/>
    </row>
    <row r="106" spans="1:19">
      <c r="A106" s="54" t="s">
        <v>248</v>
      </c>
      <c r="B106" s="67">
        <f>SUMIFS('Safeguard facility data'!BB$4:BB$312,'Safeguard facility data'!$Q$4:$Q$312,$A106,'Safeguard facility data'!BB$4:BB$312,"&gt;0")</f>
        <v>0</v>
      </c>
      <c r="C106" s="67">
        <f>SUMIFS('Safeguard facility data'!BC$4:BC$312,'Safeguard facility data'!$Q$4:$Q$312,$A106,'Safeguard facility data'!BC$4:BC$312,"&gt;0")</f>
        <v>0</v>
      </c>
      <c r="D106" s="67">
        <f>SUMIFS('Safeguard facility data'!BD$4:BD$312,'Safeguard facility data'!$Q$4:$Q$312,$A106,'Safeguard facility data'!BD$4:BD$312,"&gt;0")</f>
        <v>0</v>
      </c>
      <c r="E106" s="67">
        <f>SUMIFS('Safeguard facility data'!BE$4:BE$312,'Safeguard facility data'!$Q$4:$Q$312,$A106,'Safeguard facility data'!BE$4:BE$312,"&gt;0")</f>
        <v>0</v>
      </c>
      <c r="F106" s="67">
        <f>SUMIFS('Safeguard facility data'!BF$4:BF$312,'Safeguard facility data'!$Q$4:$Q$312,$A106,'Safeguard facility data'!BF$4:BF$312,"&gt;0")</f>
        <v>0</v>
      </c>
      <c r="G106" s="67">
        <f t="shared" si="4"/>
        <v>0</v>
      </c>
      <c r="H106" s="67"/>
      <c r="I106" s="67"/>
      <c r="J106" s="67"/>
      <c r="K106" s="67"/>
      <c r="L106" s="67"/>
      <c r="M106" s="67"/>
      <c r="N106" s="67"/>
      <c r="O106" s="67"/>
      <c r="P106" s="67"/>
      <c r="Q106" s="67"/>
      <c r="R106" s="67"/>
      <c r="S106" s="67"/>
    </row>
    <row r="107" spans="1:19">
      <c r="A107" s="54" t="s">
        <v>174</v>
      </c>
      <c r="B107" s="67">
        <f>SUMIFS('Safeguard facility data'!BB$4:BB$312,'Safeguard facility data'!$Q$4:$Q$312,$A107,'Safeguard facility data'!BB$4:BB$312,"&gt;0")</f>
        <v>0</v>
      </c>
      <c r="C107" s="67">
        <f>SUMIFS('Safeguard facility data'!BC$4:BC$312,'Safeguard facility data'!$Q$4:$Q$312,$A107,'Safeguard facility data'!BC$4:BC$312,"&gt;0")</f>
        <v>0</v>
      </c>
      <c r="D107" s="67">
        <f>SUMIFS('Safeguard facility data'!BD$4:BD$312,'Safeguard facility data'!$Q$4:$Q$312,$A107,'Safeguard facility data'!BD$4:BD$312,"&gt;0")</f>
        <v>0</v>
      </c>
      <c r="E107" s="67">
        <f>SUMIFS('Safeguard facility data'!BE$4:BE$312,'Safeguard facility data'!$Q$4:$Q$312,$A107,'Safeguard facility data'!BE$4:BE$312,"&gt;0")</f>
        <v>0</v>
      </c>
      <c r="F107" s="67">
        <f>SUMIFS('Safeguard facility data'!BF$4:BF$312,'Safeguard facility data'!$Q$4:$Q$312,$A107,'Safeguard facility data'!BF$4:BF$312,"&gt;0")</f>
        <v>0</v>
      </c>
      <c r="G107" s="67">
        <f t="shared" si="4"/>
        <v>0</v>
      </c>
      <c r="H107" s="67"/>
      <c r="I107" s="67"/>
      <c r="J107" s="67"/>
      <c r="K107" s="67"/>
      <c r="L107" s="67"/>
      <c r="M107" s="67"/>
      <c r="N107" s="67"/>
      <c r="O107" s="67"/>
      <c r="P107" s="67"/>
      <c r="Q107" s="67"/>
      <c r="R107" s="67"/>
      <c r="S107" s="67"/>
    </row>
    <row r="108" spans="1:19">
      <c r="A108" s="54" t="s">
        <v>175</v>
      </c>
      <c r="B108" s="67">
        <f>SUMIFS('Safeguard facility data'!BB$4:BB$312,'Safeguard facility data'!$Q$4:$Q$312,$A108,'Safeguard facility data'!BB$4:BB$312,"&gt;0")</f>
        <v>0</v>
      </c>
      <c r="C108" s="67">
        <f>SUMIFS('Safeguard facility data'!BC$4:BC$312,'Safeguard facility data'!$Q$4:$Q$312,$A108,'Safeguard facility data'!BC$4:BC$312,"&gt;0")</f>
        <v>0</v>
      </c>
      <c r="D108" s="67">
        <f>SUMIFS('Safeguard facility data'!BD$4:BD$312,'Safeguard facility data'!$Q$4:$Q$312,$A108,'Safeguard facility data'!BD$4:BD$312,"&gt;0")</f>
        <v>0</v>
      </c>
      <c r="E108" s="67">
        <f>SUMIFS('Safeguard facility data'!BE$4:BE$312,'Safeguard facility data'!$Q$4:$Q$312,$A108,'Safeguard facility data'!BE$4:BE$312,"&gt;0")</f>
        <v>0</v>
      </c>
      <c r="F108" s="67">
        <f>SUMIFS('Safeguard facility data'!BF$4:BF$312,'Safeguard facility data'!$Q$4:$Q$312,$A108,'Safeguard facility data'!BF$4:BF$312,"&gt;0")</f>
        <v>0</v>
      </c>
      <c r="G108" s="67">
        <f t="shared" si="4"/>
        <v>0</v>
      </c>
      <c r="H108" s="67"/>
      <c r="I108" s="67"/>
      <c r="J108" s="67"/>
      <c r="K108" s="67"/>
      <c r="L108" s="67"/>
      <c r="M108" s="67"/>
      <c r="N108" s="67"/>
      <c r="O108" s="67"/>
      <c r="P108" s="67"/>
      <c r="Q108" s="67"/>
      <c r="R108" s="67"/>
      <c r="S108" s="67"/>
    </row>
    <row r="109" spans="1:19">
      <c r="A109" s="54" t="s">
        <v>177</v>
      </c>
      <c r="B109" s="67">
        <f>SUMIFS('Safeguard facility data'!BB$4:BB$312,'Safeguard facility data'!$Q$4:$Q$312,$A109,'Safeguard facility data'!BB$4:BB$312,"&gt;0")</f>
        <v>0</v>
      </c>
      <c r="C109" s="67">
        <f>SUMIFS('Safeguard facility data'!BC$4:BC$312,'Safeguard facility data'!$Q$4:$Q$312,$A109,'Safeguard facility data'!BC$4:BC$312,"&gt;0")</f>
        <v>0</v>
      </c>
      <c r="D109" s="67">
        <f>SUMIFS('Safeguard facility data'!BD$4:BD$312,'Safeguard facility data'!$Q$4:$Q$312,$A109,'Safeguard facility data'!BD$4:BD$312,"&gt;0")</f>
        <v>0</v>
      </c>
      <c r="E109" s="67">
        <f>SUMIFS('Safeguard facility data'!BE$4:BE$312,'Safeguard facility data'!$Q$4:$Q$312,$A109,'Safeguard facility data'!BE$4:BE$312,"&gt;0")</f>
        <v>0</v>
      </c>
      <c r="F109" s="67">
        <f>SUMIFS('Safeguard facility data'!BF$4:BF$312,'Safeguard facility data'!$Q$4:$Q$312,$A109,'Safeguard facility data'!BF$4:BF$312,"&gt;0")</f>
        <v>0</v>
      </c>
      <c r="G109" s="67">
        <f t="shared" si="4"/>
        <v>0</v>
      </c>
      <c r="H109" s="67"/>
      <c r="I109" s="67"/>
      <c r="J109" s="67"/>
      <c r="K109" s="67"/>
      <c r="L109" s="67"/>
      <c r="M109" s="67"/>
      <c r="N109" s="67"/>
      <c r="O109" s="67"/>
      <c r="P109" s="67"/>
      <c r="Q109" s="67"/>
      <c r="R109" s="67"/>
      <c r="S109" s="67"/>
    </row>
    <row r="110" spans="1:19">
      <c r="A110" s="54" t="s">
        <v>178</v>
      </c>
      <c r="B110" s="67">
        <f>SUMIFS('Safeguard facility data'!BB$4:BB$312,'Safeguard facility data'!$Q$4:$Q$312,$A110,'Safeguard facility data'!BB$4:BB$312,"&gt;0")</f>
        <v>0</v>
      </c>
      <c r="C110" s="67">
        <f>SUMIFS('Safeguard facility data'!BC$4:BC$312,'Safeguard facility data'!$Q$4:$Q$312,$A110,'Safeguard facility data'!BC$4:BC$312,"&gt;0")</f>
        <v>0</v>
      </c>
      <c r="D110" s="67">
        <f>SUMIFS('Safeguard facility data'!BD$4:BD$312,'Safeguard facility data'!$Q$4:$Q$312,$A110,'Safeguard facility data'!BD$4:BD$312,"&gt;0")</f>
        <v>0</v>
      </c>
      <c r="E110" s="67">
        <f>SUMIFS('Safeguard facility data'!BE$4:BE$312,'Safeguard facility data'!$Q$4:$Q$312,$A110,'Safeguard facility data'!BE$4:BE$312,"&gt;0")</f>
        <v>0</v>
      </c>
      <c r="F110" s="67">
        <f>SUMIFS('Safeguard facility data'!BF$4:BF$312,'Safeguard facility data'!$Q$4:$Q$312,$A110,'Safeguard facility data'!BF$4:BF$312,"&gt;0")</f>
        <v>0</v>
      </c>
      <c r="G110" s="67">
        <f t="shared" si="4"/>
        <v>0</v>
      </c>
      <c r="H110" s="67"/>
      <c r="I110" s="67"/>
      <c r="J110" s="67"/>
      <c r="K110" s="67"/>
      <c r="L110" s="67"/>
      <c r="M110" s="67"/>
      <c r="N110" s="67"/>
      <c r="O110" s="67"/>
      <c r="P110" s="67"/>
      <c r="Q110" s="67"/>
      <c r="R110" s="67"/>
      <c r="S110" s="67"/>
    </row>
    <row r="111" spans="1:19">
      <c r="A111" s="54" t="s">
        <v>179</v>
      </c>
      <c r="B111" s="67">
        <f>SUMIFS('Safeguard facility data'!BB$4:BB$312,'Safeguard facility data'!$Q$4:$Q$312,$A111,'Safeguard facility data'!BB$4:BB$312,"&gt;0")</f>
        <v>0</v>
      </c>
      <c r="C111" s="67">
        <f>SUMIFS('Safeguard facility data'!BC$4:BC$312,'Safeguard facility data'!$Q$4:$Q$312,$A111,'Safeguard facility data'!BC$4:BC$312,"&gt;0")</f>
        <v>0</v>
      </c>
      <c r="D111" s="67">
        <f>SUMIFS('Safeguard facility data'!BD$4:BD$312,'Safeguard facility data'!$Q$4:$Q$312,$A111,'Safeguard facility data'!BD$4:BD$312,"&gt;0")</f>
        <v>0</v>
      </c>
      <c r="E111" s="67">
        <f>SUMIFS('Safeguard facility data'!BE$4:BE$312,'Safeguard facility data'!$Q$4:$Q$312,$A111,'Safeguard facility data'!BE$4:BE$312,"&gt;0")</f>
        <v>0</v>
      </c>
      <c r="F111" s="67">
        <f>SUMIFS('Safeguard facility data'!BF$4:BF$312,'Safeguard facility data'!$Q$4:$Q$312,$A111,'Safeguard facility data'!BF$4:BF$312,"&gt;0")</f>
        <v>0</v>
      </c>
      <c r="G111" s="67">
        <f t="shared" si="4"/>
        <v>0</v>
      </c>
      <c r="H111" s="67"/>
      <c r="I111" s="67"/>
      <c r="J111" s="67"/>
      <c r="K111" s="67"/>
      <c r="L111" s="67"/>
      <c r="M111" s="67"/>
      <c r="N111" s="67"/>
      <c r="O111" s="67"/>
      <c r="P111" s="67"/>
      <c r="Q111" s="67"/>
      <c r="R111" s="67"/>
      <c r="S111" s="67"/>
    </row>
    <row r="112" spans="1:19">
      <c r="A112" s="54" t="s">
        <v>180</v>
      </c>
      <c r="B112" s="67">
        <f>SUMIFS('Safeguard facility data'!BB$4:BB$312,'Safeguard facility data'!$Q$4:$Q$312,$A112,'Safeguard facility data'!BB$4:BB$312,"&gt;0")</f>
        <v>0</v>
      </c>
      <c r="C112" s="67">
        <f>SUMIFS('Safeguard facility data'!BC$4:BC$312,'Safeguard facility data'!$Q$4:$Q$312,$A112,'Safeguard facility data'!BC$4:BC$312,"&gt;0")</f>
        <v>0</v>
      </c>
      <c r="D112" s="67">
        <f>SUMIFS('Safeguard facility data'!BD$4:BD$312,'Safeguard facility data'!$Q$4:$Q$312,$A112,'Safeguard facility data'!BD$4:BD$312,"&gt;0")</f>
        <v>0</v>
      </c>
      <c r="E112" s="67">
        <f>SUMIFS('Safeguard facility data'!BE$4:BE$312,'Safeguard facility data'!$Q$4:$Q$312,$A112,'Safeguard facility data'!BE$4:BE$312,"&gt;0")</f>
        <v>0</v>
      </c>
      <c r="F112" s="67">
        <f>SUMIFS('Safeguard facility data'!BF$4:BF$312,'Safeguard facility data'!$Q$4:$Q$312,$A112,'Safeguard facility data'!BF$4:BF$312,"&gt;0")</f>
        <v>0</v>
      </c>
      <c r="G112" s="67">
        <f t="shared" si="4"/>
        <v>0</v>
      </c>
      <c r="H112" s="67"/>
      <c r="I112" s="67"/>
      <c r="J112" s="67"/>
      <c r="K112" s="67"/>
      <c r="L112" s="67"/>
      <c r="M112" s="67"/>
      <c r="N112" s="67"/>
      <c r="O112" s="67"/>
      <c r="P112" s="67"/>
      <c r="Q112" s="67"/>
      <c r="R112" s="67"/>
      <c r="S112" s="67"/>
    </row>
    <row r="113" spans="1:19">
      <c r="A113" s="54" t="s">
        <v>181</v>
      </c>
      <c r="B113" s="67">
        <f>SUMIFS('Safeguard facility data'!BB$4:BB$312,'Safeguard facility data'!$Q$4:$Q$312,$A113,'Safeguard facility data'!BB$4:BB$312,"&gt;0")</f>
        <v>0</v>
      </c>
      <c r="C113" s="67">
        <f>SUMIFS('Safeguard facility data'!BC$4:BC$312,'Safeguard facility data'!$Q$4:$Q$312,$A113,'Safeguard facility data'!BC$4:BC$312,"&gt;0")</f>
        <v>0</v>
      </c>
      <c r="D113" s="67">
        <f>SUMIFS('Safeguard facility data'!BD$4:BD$312,'Safeguard facility data'!$Q$4:$Q$312,$A113,'Safeguard facility data'!BD$4:BD$312,"&gt;0")</f>
        <v>0</v>
      </c>
      <c r="E113" s="67">
        <f>SUMIFS('Safeguard facility data'!BE$4:BE$312,'Safeguard facility data'!$Q$4:$Q$312,$A113,'Safeguard facility data'!BE$4:BE$312,"&gt;0")</f>
        <v>0</v>
      </c>
      <c r="F113" s="67">
        <f>SUMIFS('Safeguard facility data'!BF$4:BF$312,'Safeguard facility data'!$Q$4:$Q$312,$A113,'Safeguard facility data'!BF$4:BF$312,"&gt;0")</f>
        <v>0</v>
      </c>
      <c r="G113" s="67">
        <f t="shared" si="4"/>
        <v>0</v>
      </c>
      <c r="H113" s="67"/>
      <c r="I113" s="67"/>
      <c r="J113" s="67"/>
      <c r="K113" s="67"/>
      <c r="L113" s="67"/>
      <c r="M113" s="67"/>
      <c r="N113" s="67"/>
      <c r="O113" s="67"/>
      <c r="P113" s="67"/>
      <c r="Q113" s="67"/>
      <c r="R113" s="67"/>
      <c r="S113" s="67"/>
    </row>
    <row r="114" spans="1:19">
      <c r="A114" s="54" t="s">
        <v>182</v>
      </c>
      <c r="B114" s="67">
        <f>SUMIFS('Safeguard facility data'!BB$4:BB$312,'Safeguard facility data'!$Q$4:$Q$312,$A114,'Safeguard facility data'!BB$4:BB$312,"&gt;0")</f>
        <v>0</v>
      </c>
      <c r="C114" s="67">
        <f>SUMIFS('Safeguard facility data'!BC$4:BC$312,'Safeguard facility data'!$Q$4:$Q$312,$A114,'Safeguard facility data'!BC$4:BC$312,"&gt;0")</f>
        <v>0</v>
      </c>
      <c r="D114" s="67">
        <f>SUMIFS('Safeguard facility data'!BD$4:BD$312,'Safeguard facility data'!$Q$4:$Q$312,$A114,'Safeguard facility data'!BD$4:BD$312,"&gt;0")</f>
        <v>0</v>
      </c>
      <c r="E114" s="67">
        <f>SUMIFS('Safeguard facility data'!BE$4:BE$312,'Safeguard facility data'!$Q$4:$Q$312,$A114,'Safeguard facility data'!BE$4:BE$312,"&gt;0")</f>
        <v>0</v>
      </c>
      <c r="F114" s="67">
        <f>SUMIFS('Safeguard facility data'!BF$4:BF$312,'Safeguard facility data'!$Q$4:$Q$312,$A114,'Safeguard facility data'!BF$4:BF$312,"&gt;0")</f>
        <v>0</v>
      </c>
      <c r="G114" s="67">
        <f t="shared" si="4"/>
        <v>0</v>
      </c>
      <c r="H114" s="67"/>
      <c r="I114" s="67"/>
      <c r="J114" s="67"/>
      <c r="K114" s="67"/>
      <c r="L114" s="67"/>
      <c r="M114" s="67"/>
      <c r="N114" s="67"/>
      <c r="O114" s="67"/>
      <c r="P114" s="67"/>
      <c r="Q114" s="67"/>
      <c r="R114" s="67"/>
      <c r="S114" s="67"/>
    </row>
    <row r="115" spans="1:19">
      <c r="A115" s="54" t="s">
        <v>265</v>
      </c>
      <c r="B115" s="67">
        <f>SUMIFS('Safeguard facility data'!BB$4:BB$312,'Safeguard facility data'!$Q$4:$Q$312,$A115,'Safeguard facility data'!BB$4:BB$312,"&gt;0")</f>
        <v>0</v>
      </c>
      <c r="C115" s="67">
        <f>SUMIFS('Safeguard facility data'!BC$4:BC$312,'Safeguard facility data'!$Q$4:$Q$312,$A115,'Safeguard facility data'!BC$4:BC$312,"&gt;0")</f>
        <v>0</v>
      </c>
      <c r="D115" s="67">
        <f>SUMIFS('Safeguard facility data'!BD$4:BD$312,'Safeguard facility data'!$Q$4:$Q$312,$A115,'Safeguard facility data'!BD$4:BD$312,"&gt;0")</f>
        <v>0</v>
      </c>
      <c r="E115" s="67">
        <f>SUMIFS('Safeguard facility data'!BE$4:BE$312,'Safeguard facility data'!$Q$4:$Q$312,$A115,'Safeguard facility data'!BE$4:BE$312,"&gt;0")</f>
        <v>0</v>
      </c>
      <c r="F115" s="67">
        <f>SUMIFS('Safeguard facility data'!BF$4:BF$312,'Safeguard facility data'!$Q$4:$Q$312,$A115,'Safeguard facility data'!BF$4:BF$312,"&gt;0")</f>
        <v>0</v>
      </c>
      <c r="G115" s="67">
        <f t="shared" si="4"/>
        <v>0</v>
      </c>
      <c r="H115" s="67"/>
      <c r="I115" s="67"/>
      <c r="J115" s="67"/>
      <c r="K115" s="67"/>
      <c r="L115" s="67"/>
      <c r="M115" s="67"/>
      <c r="N115" s="67"/>
      <c r="O115" s="67"/>
      <c r="P115" s="67"/>
      <c r="Q115" s="67"/>
      <c r="R115" s="67"/>
      <c r="S115" s="67"/>
    </row>
    <row r="116" spans="1:19">
      <c r="A116" s="54" t="s">
        <v>183</v>
      </c>
      <c r="B116" s="67">
        <f>SUMIFS('Safeguard facility data'!BB$4:BB$312,'Safeguard facility data'!$Q$4:$Q$312,$A116,'Safeguard facility data'!BB$4:BB$312,"&gt;0")</f>
        <v>0</v>
      </c>
      <c r="C116" s="67">
        <f>SUMIFS('Safeguard facility data'!BC$4:BC$312,'Safeguard facility data'!$Q$4:$Q$312,$A116,'Safeguard facility data'!BC$4:BC$312,"&gt;0")</f>
        <v>0</v>
      </c>
      <c r="D116" s="67">
        <f>SUMIFS('Safeguard facility data'!BD$4:BD$312,'Safeguard facility data'!$Q$4:$Q$312,$A116,'Safeguard facility data'!BD$4:BD$312,"&gt;0")</f>
        <v>0</v>
      </c>
      <c r="E116" s="67">
        <f>SUMIFS('Safeguard facility data'!BE$4:BE$312,'Safeguard facility data'!$Q$4:$Q$312,$A116,'Safeguard facility data'!BE$4:BE$312,"&gt;0")</f>
        <v>0</v>
      </c>
      <c r="F116" s="67">
        <f>SUMIFS('Safeguard facility data'!BF$4:BF$312,'Safeguard facility data'!$Q$4:$Q$312,$A116,'Safeguard facility data'!BF$4:BF$312,"&gt;0")</f>
        <v>0</v>
      </c>
      <c r="G116" s="67">
        <f t="shared" si="4"/>
        <v>0</v>
      </c>
      <c r="H116" s="67"/>
      <c r="I116" s="67"/>
      <c r="J116" s="67"/>
      <c r="K116" s="67"/>
      <c r="L116" s="67"/>
      <c r="M116" s="67"/>
      <c r="N116" s="67"/>
      <c r="O116" s="67"/>
      <c r="P116" s="67"/>
      <c r="Q116" s="67"/>
      <c r="R116" s="67"/>
      <c r="S116" s="67"/>
    </row>
    <row r="117" spans="1:19">
      <c r="A117" s="54" t="s">
        <v>185</v>
      </c>
      <c r="B117" s="67">
        <f>SUMIFS('Safeguard facility data'!BB$4:BB$312,'Safeguard facility data'!$Q$4:$Q$312,$A117,'Safeguard facility data'!BB$4:BB$312,"&gt;0")</f>
        <v>0</v>
      </c>
      <c r="C117" s="67">
        <f>SUMIFS('Safeguard facility data'!BC$4:BC$312,'Safeguard facility data'!$Q$4:$Q$312,$A117,'Safeguard facility data'!BC$4:BC$312,"&gt;0")</f>
        <v>0</v>
      </c>
      <c r="D117" s="67">
        <f>SUMIFS('Safeguard facility data'!BD$4:BD$312,'Safeguard facility data'!$Q$4:$Q$312,$A117,'Safeguard facility data'!BD$4:BD$312,"&gt;0")</f>
        <v>0</v>
      </c>
      <c r="E117" s="67">
        <f>SUMIFS('Safeguard facility data'!BE$4:BE$312,'Safeguard facility data'!$Q$4:$Q$312,$A117,'Safeguard facility data'!BE$4:BE$312,"&gt;0")</f>
        <v>0</v>
      </c>
      <c r="F117" s="67">
        <f>SUMIFS('Safeguard facility data'!BF$4:BF$312,'Safeguard facility data'!$Q$4:$Q$312,$A117,'Safeguard facility data'!BF$4:BF$312,"&gt;0")</f>
        <v>0</v>
      </c>
      <c r="G117" s="67">
        <f t="shared" si="4"/>
        <v>0</v>
      </c>
      <c r="H117" s="67"/>
      <c r="I117" s="67"/>
      <c r="J117" s="67"/>
      <c r="K117" s="67"/>
      <c r="L117" s="67"/>
      <c r="M117" s="67"/>
      <c r="N117" s="67"/>
      <c r="O117" s="67"/>
      <c r="P117" s="67"/>
      <c r="Q117" s="67"/>
      <c r="R117" s="67"/>
      <c r="S117" s="67"/>
    </row>
    <row r="118" spans="1:19">
      <c r="A118" s="54" t="s">
        <v>186</v>
      </c>
      <c r="B118" s="67">
        <f>SUMIFS('Safeguard facility data'!BB$4:BB$312,'Safeguard facility data'!$Q$4:$Q$312,$A118,'Safeguard facility data'!BB$4:BB$312,"&gt;0")</f>
        <v>0</v>
      </c>
      <c r="C118" s="67">
        <f>SUMIFS('Safeguard facility data'!BC$4:BC$312,'Safeguard facility data'!$Q$4:$Q$312,$A118,'Safeguard facility data'!BC$4:BC$312,"&gt;0")</f>
        <v>0</v>
      </c>
      <c r="D118" s="67">
        <f>SUMIFS('Safeguard facility data'!BD$4:BD$312,'Safeguard facility data'!$Q$4:$Q$312,$A118,'Safeguard facility data'!BD$4:BD$312,"&gt;0")</f>
        <v>0</v>
      </c>
      <c r="E118" s="67">
        <f>SUMIFS('Safeguard facility data'!BE$4:BE$312,'Safeguard facility data'!$Q$4:$Q$312,$A118,'Safeguard facility data'!BE$4:BE$312,"&gt;0")</f>
        <v>0</v>
      </c>
      <c r="F118" s="67">
        <f>SUMIFS('Safeguard facility data'!BF$4:BF$312,'Safeguard facility data'!$Q$4:$Q$312,$A118,'Safeguard facility data'!BF$4:BF$312,"&gt;0")</f>
        <v>0</v>
      </c>
      <c r="G118" s="67">
        <f t="shared" si="4"/>
        <v>0</v>
      </c>
      <c r="H118" s="67"/>
      <c r="I118" s="67"/>
      <c r="J118" s="67"/>
      <c r="K118" s="67"/>
      <c r="L118" s="67"/>
      <c r="M118" s="67"/>
      <c r="N118" s="67"/>
      <c r="O118" s="67"/>
      <c r="P118" s="67"/>
      <c r="Q118" s="67"/>
      <c r="R118" s="67"/>
      <c r="S118" s="67"/>
    </row>
    <row r="119" spans="1:19">
      <c r="A119" s="54" t="s">
        <v>270</v>
      </c>
      <c r="B119" s="67">
        <f>SUMIFS('Safeguard facility data'!BB$4:BB$312,'Safeguard facility data'!$Q$4:$Q$312,$A119,'Safeguard facility data'!BB$4:BB$312,"&gt;0")</f>
        <v>0</v>
      </c>
      <c r="C119" s="67">
        <f>SUMIFS('Safeguard facility data'!BC$4:BC$312,'Safeguard facility data'!$Q$4:$Q$312,$A119,'Safeguard facility data'!BC$4:BC$312,"&gt;0")</f>
        <v>0</v>
      </c>
      <c r="D119" s="67">
        <f>SUMIFS('Safeguard facility data'!BD$4:BD$312,'Safeguard facility data'!$Q$4:$Q$312,$A119,'Safeguard facility data'!BD$4:BD$312,"&gt;0")</f>
        <v>0</v>
      </c>
      <c r="E119" s="67">
        <f>SUMIFS('Safeguard facility data'!BE$4:BE$312,'Safeguard facility data'!$Q$4:$Q$312,$A119,'Safeguard facility data'!BE$4:BE$312,"&gt;0")</f>
        <v>0</v>
      </c>
      <c r="F119" s="67">
        <f>SUMIFS('Safeguard facility data'!BF$4:BF$312,'Safeguard facility data'!$Q$4:$Q$312,$A119,'Safeguard facility data'!BF$4:BF$312,"&gt;0")</f>
        <v>0</v>
      </c>
      <c r="G119" s="67">
        <f t="shared" si="4"/>
        <v>0</v>
      </c>
      <c r="H119" s="67"/>
      <c r="I119" s="67"/>
      <c r="J119" s="67"/>
      <c r="K119" s="67"/>
      <c r="L119" s="67"/>
      <c r="M119" s="67"/>
      <c r="N119" s="67"/>
      <c r="O119" s="67"/>
      <c r="P119" s="67"/>
      <c r="Q119" s="67"/>
      <c r="R119" s="67"/>
      <c r="S119" s="67"/>
    </row>
    <row r="120" spans="1:19">
      <c r="A120" s="54" t="s">
        <v>187</v>
      </c>
      <c r="B120" s="67">
        <f>SUMIFS('Safeguard facility data'!BB$4:BB$312,'Safeguard facility data'!$Q$4:$Q$312,$A120,'Safeguard facility data'!BB$4:BB$312,"&gt;0")</f>
        <v>0</v>
      </c>
      <c r="C120" s="67">
        <f>SUMIFS('Safeguard facility data'!BC$4:BC$312,'Safeguard facility data'!$Q$4:$Q$312,$A120,'Safeguard facility data'!BC$4:BC$312,"&gt;0")</f>
        <v>0</v>
      </c>
      <c r="D120" s="67">
        <f>SUMIFS('Safeguard facility data'!BD$4:BD$312,'Safeguard facility data'!$Q$4:$Q$312,$A120,'Safeguard facility data'!BD$4:BD$312,"&gt;0")</f>
        <v>0</v>
      </c>
      <c r="E120" s="67">
        <f>SUMIFS('Safeguard facility data'!BE$4:BE$312,'Safeguard facility data'!$Q$4:$Q$312,$A120,'Safeguard facility data'!BE$4:BE$312,"&gt;0")</f>
        <v>0</v>
      </c>
      <c r="F120" s="67">
        <f>SUMIFS('Safeguard facility data'!BF$4:BF$312,'Safeguard facility data'!$Q$4:$Q$312,$A120,'Safeguard facility data'!BF$4:BF$312,"&gt;0")</f>
        <v>0</v>
      </c>
      <c r="G120" s="67">
        <f t="shared" si="4"/>
        <v>0</v>
      </c>
      <c r="H120" s="67"/>
      <c r="I120" s="67"/>
      <c r="J120" s="67"/>
      <c r="K120" s="67"/>
      <c r="L120" s="67"/>
      <c r="M120" s="67"/>
      <c r="N120" s="67"/>
      <c r="O120" s="67"/>
      <c r="P120" s="67"/>
      <c r="Q120" s="67"/>
      <c r="R120" s="67"/>
      <c r="S120" s="67"/>
    </row>
    <row r="121" spans="1:19">
      <c r="A121" s="54" t="s">
        <v>271</v>
      </c>
      <c r="B121" s="67">
        <f>SUMIFS('Safeguard facility data'!BB$4:BB$312,'Safeguard facility data'!$Q$4:$Q$312,$A121,'Safeguard facility data'!BB$4:BB$312,"&gt;0")</f>
        <v>0</v>
      </c>
      <c r="C121" s="67">
        <f>SUMIFS('Safeguard facility data'!BC$4:BC$312,'Safeguard facility data'!$Q$4:$Q$312,$A121,'Safeguard facility data'!BC$4:BC$312,"&gt;0")</f>
        <v>0</v>
      </c>
      <c r="D121" s="67">
        <f>SUMIFS('Safeguard facility data'!BD$4:BD$312,'Safeguard facility data'!$Q$4:$Q$312,$A121,'Safeguard facility data'!BD$4:BD$312,"&gt;0")</f>
        <v>0</v>
      </c>
      <c r="E121" s="67">
        <f>SUMIFS('Safeguard facility data'!BE$4:BE$312,'Safeguard facility data'!$Q$4:$Q$312,$A121,'Safeguard facility data'!BE$4:BE$312,"&gt;0")</f>
        <v>0</v>
      </c>
      <c r="F121" s="67">
        <f>SUMIFS('Safeguard facility data'!BF$4:BF$312,'Safeguard facility data'!$Q$4:$Q$312,$A121,'Safeguard facility data'!BF$4:BF$312,"&gt;0")</f>
        <v>0</v>
      </c>
      <c r="G121" s="67">
        <f t="shared" si="4"/>
        <v>0</v>
      </c>
      <c r="H121" s="67"/>
      <c r="I121" s="67"/>
      <c r="J121" s="67"/>
      <c r="K121" s="67"/>
      <c r="L121" s="67"/>
      <c r="M121" s="67"/>
      <c r="N121" s="67"/>
      <c r="O121" s="67"/>
      <c r="P121" s="67"/>
      <c r="Q121" s="67"/>
      <c r="R121" s="67"/>
      <c r="S121" s="67"/>
    </row>
    <row r="122" spans="1:19">
      <c r="A122" s="54" t="s">
        <v>189</v>
      </c>
      <c r="B122" s="67">
        <f>SUMIFS('Safeguard facility data'!BB$4:BB$312,'Safeguard facility data'!$Q$4:$Q$312,$A122,'Safeguard facility data'!BB$4:BB$312,"&gt;0")</f>
        <v>0</v>
      </c>
      <c r="C122" s="67">
        <f>SUMIFS('Safeguard facility data'!BC$4:BC$312,'Safeguard facility data'!$Q$4:$Q$312,$A122,'Safeguard facility data'!BC$4:BC$312,"&gt;0")</f>
        <v>0</v>
      </c>
      <c r="D122" s="67">
        <f>SUMIFS('Safeguard facility data'!BD$4:BD$312,'Safeguard facility data'!$Q$4:$Q$312,$A122,'Safeguard facility data'!BD$4:BD$312,"&gt;0")</f>
        <v>0</v>
      </c>
      <c r="E122" s="67">
        <f>SUMIFS('Safeguard facility data'!BE$4:BE$312,'Safeguard facility data'!$Q$4:$Q$312,$A122,'Safeguard facility data'!BE$4:BE$312,"&gt;0")</f>
        <v>0</v>
      </c>
      <c r="F122" s="67">
        <f>SUMIFS('Safeguard facility data'!BF$4:BF$312,'Safeguard facility data'!$Q$4:$Q$312,$A122,'Safeguard facility data'!BF$4:BF$312,"&gt;0")</f>
        <v>0</v>
      </c>
      <c r="G122" s="67">
        <f t="shared" si="4"/>
        <v>0</v>
      </c>
      <c r="H122" s="67"/>
      <c r="I122" s="67"/>
      <c r="J122" s="67"/>
      <c r="K122" s="67"/>
      <c r="L122" s="67"/>
      <c r="M122" s="67"/>
      <c r="N122" s="67"/>
      <c r="O122" s="67"/>
      <c r="P122" s="67"/>
      <c r="Q122" s="67"/>
      <c r="R122" s="67"/>
      <c r="S122" s="67"/>
    </row>
    <row r="123" spans="1:19">
      <c r="A123" s="54" t="s">
        <v>190</v>
      </c>
      <c r="B123" s="67">
        <f>SUMIFS('Safeguard facility data'!BB$4:BB$312,'Safeguard facility data'!$Q$4:$Q$312,$A123,'Safeguard facility data'!BB$4:BB$312,"&gt;0")</f>
        <v>0</v>
      </c>
      <c r="C123" s="67">
        <f>SUMIFS('Safeguard facility data'!BC$4:BC$312,'Safeguard facility data'!$Q$4:$Q$312,$A123,'Safeguard facility data'!BC$4:BC$312,"&gt;0")</f>
        <v>0</v>
      </c>
      <c r="D123" s="67">
        <f>SUMIFS('Safeguard facility data'!BD$4:BD$312,'Safeguard facility data'!$Q$4:$Q$312,$A123,'Safeguard facility data'!BD$4:BD$312,"&gt;0")</f>
        <v>0</v>
      </c>
      <c r="E123" s="67">
        <f>SUMIFS('Safeguard facility data'!BE$4:BE$312,'Safeguard facility data'!$Q$4:$Q$312,$A123,'Safeguard facility data'!BE$4:BE$312,"&gt;0")</f>
        <v>0</v>
      </c>
      <c r="F123" s="67">
        <f>SUMIFS('Safeguard facility data'!BF$4:BF$312,'Safeguard facility data'!$Q$4:$Q$312,$A123,'Safeguard facility data'!BF$4:BF$312,"&gt;0")</f>
        <v>0</v>
      </c>
      <c r="G123" s="67">
        <f t="shared" si="4"/>
        <v>0</v>
      </c>
      <c r="H123" s="67"/>
      <c r="I123" s="67"/>
      <c r="J123" s="67"/>
      <c r="K123" s="67"/>
      <c r="L123" s="67"/>
      <c r="M123" s="67"/>
      <c r="N123" s="67"/>
      <c r="O123" s="67"/>
      <c r="P123" s="67"/>
      <c r="Q123" s="67"/>
      <c r="R123" s="67"/>
      <c r="S123" s="67"/>
    </row>
    <row r="124" spans="1:19">
      <c r="A124" s="54" t="s">
        <v>191</v>
      </c>
      <c r="B124" s="67">
        <f>SUMIFS('Safeguard facility data'!BB$4:BB$312,'Safeguard facility data'!$Q$4:$Q$312,$A124,'Safeguard facility data'!BB$4:BB$312,"&gt;0")</f>
        <v>0</v>
      </c>
      <c r="C124" s="67">
        <f>SUMIFS('Safeguard facility data'!BC$4:BC$312,'Safeguard facility data'!$Q$4:$Q$312,$A124,'Safeguard facility data'!BC$4:BC$312,"&gt;0")</f>
        <v>0</v>
      </c>
      <c r="D124" s="67">
        <f>SUMIFS('Safeguard facility data'!BD$4:BD$312,'Safeguard facility data'!$Q$4:$Q$312,$A124,'Safeguard facility data'!BD$4:BD$312,"&gt;0")</f>
        <v>0</v>
      </c>
      <c r="E124" s="67">
        <f>SUMIFS('Safeguard facility data'!BE$4:BE$312,'Safeguard facility data'!$Q$4:$Q$312,$A124,'Safeguard facility data'!BE$4:BE$312,"&gt;0")</f>
        <v>0</v>
      </c>
      <c r="F124" s="67">
        <f>SUMIFS('Safeguard facility data'!BF$4:BF$312,'Safeguard facility data'!$Q$4:$Q$312,$A124,'Safeguard facility data'!BF$4:BF$312,"&gt;0")</f>
        <v>0</v>
      </c>
      <c r="G124" s="67">
        <f t="shared" si="4"/>
        <v>0</v>
      </c>
      <c r="H124" s="67"/>
      <c r="I124" s="67"/>
      <c r="J124" s="67"/>
      <c r="K124" s="67"/>
      <c r="L124" s="67"/>
      <c r="M124" s="67"/>
      <c r="N124" s="67"/>
      <c r="O124" s="67"/>
      <c r="P124" s="67"/>
      <c r="Q124" s="67"/>
      <c r="R124" s="67"/>
      <c r="S124" s="67"/>
    </row>
    <row r="125" spans="1:19">
      <c r="A125" s="54" t="s">
        <v>192</v>
      </c>
      <c r="B125" s="67">
        <f>SUMIFS('Safeguard facility data'!BB$4:BB$312,'Safeguard facility data'!$Q$4:$Q$312,$A125,'Safeguard facility data'!BB$4:BB$312,"&gt;0")</f>
        <v>0</v>
      </c>
      <c r="C125" s="67">
        <f>SUMIFS('Safeguard facility data'!BC$4:BC$312,'Safeguard facility data'!$Q$4:$Q$312,$A125,'Safeguard facility data'!BC$4:BC$312,"&gt;0")</f>
        <v>0</v>
      </c>
      <c r="D125" s="67">
        <f>SUMIFS('Safeguard facility data'!BD$4:BD$312,'Safeguard facility data'!$Q$4:$Q$312,$A125,'Safeguard facility data'!BD$4:BD$312,"&gt;0")</f>
        <v>0</v>
      </c>
      <c r="E125" s="67">
        <f>SUMIFS('Safeguard facility data'!BE$4:BE$312,'Safeguard facility data'!$Q$4:$Q$312,$A125,'Safeguard facility data'!BE$4:BE$312,"&gt;0")</f>
        <v>0</v>
      </c>
      <c r="F125" s="67">
        <f>SUMIFS('Safeguard facility data'!BF$4:BF$312,'Safeguard facility data'!$Q$4:$Q$312,$A125,'Safeguard facility data'!BF$4:BF$312,"&gt;0")</f>
        <v>0</v>
      </c>
      <c r="G125" s="67">
        <f t="shared" si="4"/>
        <v>0</v>
      </c>
      <c r="H125" s="67"/>
      <c r="I125" s="67"/>
      <c r="J125" s="67"/>
      <c r="K125" s="67"/>
      <c r="L125" s="67"/>
      <c r="M125" s="67"/>
      <c r="N125" s="67"/>
      <c r="O125" s="67"/>
      <c r="P125" s="67"/>
      <c r="Q125" s="67"/>
      <c r="R125" s="67"/>
      <c r="S125" s="67"/>
    </row>
    <row r="126" spans="1:19">
      <c r="A126" s="54" t="s">
        <v>193</v>
      </c>
      <c r="B126" s="67">
        <f>SUMIFS('Safeguard facility data'!BB$4:BB$312,'Safeguard facility data'!$Q$4:$Q$312,$A126,'Safeguard facility data'!BB$4:BB$312,"&gt;0")</f>
        <v>0</v>
      </c>
      <c r="C126" s="67">
        <f>SUMIFS('Safeguard facility data'!BC$4:BC$312,'Safeguard facility data'!$Q$4:$Q$312,$A126,'Safeguard facility data'!BC$4:BC$312,"&gt;0")</f>
        <v>0</v>
      </c>
      <c r="D126" s="67">
        <f>SUMIFS('Safeguard facility data'!BD$4:BD$312,'Safeguard facility data'!$Q$4:$Q$312,$A126,'Safeguard facility data'!BD$4:BD$312,"&gt;0")</f>
        <v>0</v>
      </c>
      <c r="E126" s="67">
        <f>SUMIFS('Safeguard facility data'!BE$4:BE$312,'Safeguard facility data'!$Q$4:$Q$312,$A126,'Safeguard facility data'!BE$4:BE$312,"&gt;0")</f>
        <v>0</v>
      </c>
      <c r="F126" s="67">
        <f>SUMIFS('Safeguard facility data'!BF$4:BF$312,'Safeguard facility data'!$Q$4:$Q$312,$A126,'Safeguard facility data'!BF$4:BF$312,"&gt;0")</f>
        <v>0</v>
      </c>
      <c r="G126" s="67">
        <f t="shared" si="4"/>
        <v>0</v>
      </c>
      <c r="H126" s="67"/>
      <c r="I126" s="67"/>
      <c r="J126" s="67"/>
      <c r="K126" s="67"/>
      <c r="L126" s="67"/>
      <c r="M126" s="67"/>
      <c r="N126" s="67"/>
      <c r="O126" s="67"/>
      <c r="P126" s="67"/>
      <c r="Q126" s="67"/>
      <c r="R126" s="67"/>
      <c r="S126" s="67"/>
    </row>
    <row r="127" spans="1:19">
      <c r="A127" s="54" t="s">
        <v>274</v>
      </c>
      <c r="B127" s="67">
        <f>SUMIFS('Safeguard facility data'!BB$4:BB$312,'Safeguard facility data'!$Q$4:$Q$312,$A127,'Safeguard facility data'!BB$4:BB$312,"&gt;0")</f>
        <v>0</v>
      </c>
      <c r="C127" s="67">
        <f>SUMIFS('Safeguard facility data'!BC$4:BC$312,'Safeguard facility data'!$Q$4:$Q$312,$A127,'Safeguard facility data'!BC$4:BC$312,"&gt;0")</f>
        <v>0</v>
      </c>
      <c r="D127" s="67">
        <f>SUMIFS('Safeguard facility data'!BD$4:BD$312,'Safeguard facility data'!$Q$4:$Q$312,$A127,'Safeguard facility data'!BD$4:BD$312,"&gt;0")</f>
        <v>0</v>
      </c>
      <c r="E127" s="67">
        <f>SUMIFS('Safeguard facility data'!BE$4:BE$312,'Safeguard facility data'!$Q$4:$Q$312,$A127,'Safeguard facility data'!BE$4:BE$312,"&gt;0")</f>
        <v>0</v>
      </c>
      <c r="F127" s="67">
        <f>SUMIFS('Safeguard facility data'!BF$4:BF$312,'Safeguard facility data'!$Q$4:$Q$312,$A127,'Safeguard facility data'!BF$4:BF$312,"&gt;0")</f>
        <v>0</v>
      </c>
      <c r="G127" s="67">
        <f t="shared" si="4"/>
        <v>0</v>
      </c>
      <c r="H127" s="67"/>
      <c r="I127" s="67"/>
      <c r="J127" s="67"/>
      <c r="K127" s="67"/>
      <c r="L127" s="67"/>
      <c r="M127" s="67"/>
      <c r="N127" s="67"/>
      <c r="O127" s="67"/>
      <c r="P127" s="67"/>
      <c r="Q127" s="67"/>
      <c r="R127" s="67"/>
      <c r="S127" s="67"/>
    </row>
    <row r="128" spans="1:19">
      <c r="A128" s="54" t="s">
        <v>275</v>
      </c>
      <c r="B128" s="67">
        <f>SUMIFS('Safeguard facility data'!BB$4:BB$312,'Safeguard facility data'!$Q$4:$Q$312,$A128,'Safeguard facility data'!BB$4:BB$312,"&gt;0")</f>
        <v>0</v>
      </c>
      <c r="C128" s="67">
        <f>SUMIFS('Safeguard facility data'!BC$4:BC$312,'Safeguard facility data'!$Q$4:$Q$312,$A128,'Safeguard facility data'!BC$4:BC$312,"&gt;0")</f>
        <v>0</v>
      </c>
      <c r="D128" s="67">
        <f>SUMIFS('Safeguard facility data'!BD$4:BD$312,'Safeguard facility data'!$Q$4:$Q$312,$A128,'Safeguard facility data'!BD$4:BD$312,"&gt;0")</f>
        <v>0</v>
      </c>
      <c r="E128" s="67">
        <f>SUMIFS('Safeguard facility data'!BE$4:BE$312,'Safeguard facility data'!$Q$4:$Q$312,$A128,'Safeguard facility data'!BE$4:BE$312,"&gt;0")</f>
        <v>0</v>
      </c>
      <c r="F128" s="67">
        <f>SUMIFS('Safeguard facility data'!BF$4:BF$312,'Safeguard facility data'!$Q$4:$Q$312,$A128,'Safeguard facility data'!BF$4:BF$312,"&gt;0")</f>
        <v>0</v>
      </c>
      <c r="G128" s="67">
        <f t="shared" si="4"/>
        <v>0</v>
      </c>
      <c r="H128" s="67"/>
      <c r="I128" s="67"/>
      <c r="J128" s="67"/>
      <c r="K128" s="67"/>
      <c r="L128" s="67"/>
      <c r="M128" s="67"/>
      <c r="N128" s="67"/>
      <c r="O128" s="67"/>
      <c r="P128" s="67"/>
      <c r="Q128" s="67"/>
      <c r="R128" s="67"/>
      <c r="S128" s="67"/>
    </row>
    <row r="129" spans="1:19">
      <c r="A129" s="54" t="s">
        <v>249</v>
      </c>
      <c r="B129" s="67">
        <f>SUMIFS('Safeguard facility data'!BB$4:BB$312,'Safeguard facility data'!$Q$4:$Q$312,$A129,'Safeguard facility data'!BB$4:BB$312,"&gt;0")</f>
        <v>0</v>
      </c>
      <c r="C129" s="67">
        <f>SUMIFS('Safeguard facility data'!BC$4:BC$312,'Safeguard facility data'!$Q$4:$Q$312,$A129,'Safeguard facility data'!BC$4:BC$312,"&gt;0")</f>
        <v>0</v>
      </c>
      <c r="D129" s="67">
        <f>SUMIFS('Safeguard facility data'!BD$4:BD$312,'Safeguard facility data'!$Q$4:$Q$312,$A129,'Safeguard facility data'!BD$4:BD$312,"&gt;0")</f>
        <v>0</v>
      </c>
      <c r="E129" s="67">
        <f>SUMIFS('Safeguard facility data'!BE$4:BE$312,'Safeguard facility data'!$Q$4:$Q$312,$A129,'Safeguard facility data'!BE$4:BE$312,"&gt;0")</f>
        <v>0</v>
      </c>
      <c r="F129" s="67">
        <f>SUMIFS('Safeguard facility data'!BF$4:BF$312,'Safeguard facility data'!$Q$4:$Q$312,$A129,'Safeguard facility data'!BF$4:BF$312,"&gt;0")</f>
        <v>0</v>
      </c>
      <c r="G129" s="67">
        <f t="shared" si="4"/>
        <v>0</v>
      </c>
      <c r="H129" s="67"/>
      <c r="I129" s="67"/>
      <c r="J129" s="67"/>
      <c r="K129" s="67"/>
      <c r="L129" s="67"/>
      <c r="M129" s="67"/>
      <c r="N129" s="67"/>
      <c r="O129" s="67"/>
      <c r="P129" s="67"/>
      <c r="Q129" s="67"/>
      <c r="R129" s="67"/>
      <c r="S129" s="67"/>
    </row>
    <row r="130" spans="1:19">
      <c r="A130" s="54" t="s">
        <v>284</v>
      </c>
      <c r="B130" s="67">
        <f>SUMIFS('Safeguard facility data'!BB$4:BB$312,'Safeguard facility data'!$Q$4:$Q$312,$A130,'Safeguard facility data'!BB$4:BB$312,"&gt;0")</f>
        <v>0</v>
      </c>
      <c r="C130" s="67">
        <f>SUMIFS('Safeguard facility data'!BC$4:BC$312,'Safeguard facility data'!$Q$4:$Q$312,$A130,'Safeguard facility data'!BC$4:BC$312,"&gt;0")</f>
        <v>0</v>
      </c>
      <c r="D130" s="67">
        <f>SUMIFS('Safeguard facility data'!BD$4:BD$312,'Safeguard facility data'!$Q$4:$Q$312,$A130,'Safeguard facility data'!BD$4:BD$312,"&gt;0")</f>
        <v>0</v>
      </c>
      <c r="E130" s="67">
        <f>SUMIFS('Safeguard facility data'!BE$4:BE$312,'Safeguard facility data'!$Q$4:$Q$312,$A130,'Safeguard facility data'!BE$4:BE$312,"&gt;0")</f>
        <v>0</v>
      </c>
      <c r="F130" s="67">
        <f>SUMIFS('Safeguard facility data'!BF$4:BF$312,'Safeguard facility data'!$Q$4:$Q$312,$A130,'Safeguard facility data'!BF$4:BF$312,"&gt;0")</f>
        <v>0</v>
      </c>
      <c r="G130" s="67">
        <f t="shared" ref="G130:G161" si="5">SUM(B130:F130)</f>
        <v>0</v>
      </c>
      <c r="H130" s="67"/>
      <c r="I130" s="67"/>
      <c r="J130" s="67"/>
      <c r="K130" s="67"/>
      <c r="L130" s="67"/>
      <c r="M130" s="67"/>
      <c r="N130" s="67"/>
      <c r="O130" s="67"/>
      <c r="P130" s="67"/>
      <c r="Q130" s="67"/>
      <c r="R130" s="67"/>
      <c r="S130" s="67"/>
    </row>
    <row r="131" spans="1:19">
      <c r="A131" s="54" t="s">
        <v>194</v>
      </c>
      <c r="B131" s="67">
        <f>SUMIFS('Safeguard facility data'!BB$4:BB$312,'Safeguard facility data'!$Q$4:$Q$312,$A131,'Safeguard facility data'!BB$4:BB$312,"&gt;0")</f>
        <v>0</v>
      </c>
      <c r="C131" s="67">
        <f>SUMIFS('Safeguard facility data'!BC$4:BC$312,'Safeguard facility data'!$Q$4:$Q$312,$A131,'Safeguard facility data'!BC$4:BC$312,"&gt;0")</f>
        <v>0</v>
      </c>
      <c r="D131" s="67">
        <f>SUMIFS('Safeguard facility data'!BD$4:BD$312,'Safeguard facility data'!$Q$4:$Q$312,$A131,'Safeguard facility data'!BD$4:BD$312,"&gt;0")</f>
        <v>0</v>
      </c>
      <c r="E131" s="67">
        <f>SUMIFS('Safeguard facility data'!BE$4:BE$312,'Safeguard facility data'!$Q$4:$Q$312,$A131,'Safeguard facility data'!BE$4:BE$312,"&gt;0")</f>
        <v>0</v>
      </c>
      <c r="F131" s="67">
        <f>SUMIFS('Safeguard facility data'!BF$4:BF$312,'Safeguard facility data'!$Q$4:$Q$312,$A131,'Safeguard facility data'!BF$4:BF$312,"&gt;0")</f>
        <v>0</v>
      </c>
      <c r="G131" s="67">
        <f t="shared" si="5"/>
        <v>0</v>
      </c>
      <c r="H131" s="67"/>
      <c r="I131" s="67"/>
      <c r="J131" s="67"/>
      <c r="K131" s="67"/>
      <c r="L131" s="67"/>
      <c r="M131" s="67"/>
      <c r="N131" s="67"/>
      <c r="O131" s="67"/>
      <c r="P131" s="67"/>
      <c r="Q131" s="67"/>
      <c r="R131" s="67"/>
      <c r="S131" s="67"/>
    </row>
    <row r="132" spans="1:19">
      <c r="A132" s="54" t="s">
        <v>250</v>
      </c>
      <c r="B132" s="67">
        <f>SUMIFS('Safeguard facility data'!BB$4:BB$312,'Safeguard facility data'!$Q$4:$Q$312,$A132,'Safeguard facility data'!BB$4:BB$312,"&gt;0")</f>
        <v>0</v>
      </c>
      <c r="C132" s="67">
        <f>SUMIFS('Safeguard facility data'!BC$4:BC$312,'Safeguard facility data'!$Q$4:$Q$312,$A132,'Safeguard facility data'!BC$4:BC$312,"&gt;0")</f>
        <v>0</v>
      </c>
      <c r="D132" s="67">
        <f>SUMIFS('Safeguard facility data'!BD$4:BD$312,'Safeguard facility data'!$Q$4:$Q$312,$A132,'Safeguard facility data'!BD$4:BD$312,"&gt;0")</f>
        <v>0</v>
      </c>
      <c r="E132" s="67">
        <f>SUMIFS('Safeguard facility data'!BE$4:BE$312,'Safeguard facility data'!$Q$4:$Q$312,$A132,'Safeguard facility data'!BE$4:BE$312,"&gt;0")</f>
        <v>0</v>
      </c>
      <c r="F132" s="67">
        <f>SUMIFS('Safeguard facility data'!BF$4:BF$312,'Safeguard facility data'!$Q$4:$Q$312,$A132,'Safeguard facility data'!BF$4:BF$312,"&gt;0")</f>
        <v>0</v>
      </c>
      <c r="G132" s="67">
        <f t="shared" si="5"/>
        <v>0</v>
      </c>
      <c r="H132" s="67"/>
      <c r="I132" s="67"/>
      <c r="J132" s="67"/>
      <c r="K132" s="67"/>
      <c r="L132" s="67"/>
      <c r="M132" s="67"/>
      <c r="N132" s="67"/>
      <c r="O132" s="67"/>
      <c r="P132" s="67"/>
      <c r="Q132" s="67"/>
      <c r="R132" s="67"/>
      <c r="S132" s="67"/>
    </row>
    <row r="133" spans="1:19">
      <c r="A133" s="54" t="s">
        <v>195</v>
      </c>
      <c r="B133" s="67">
        <f>SUMIFS('Safeguard facility data'!BB$4:BB$312,'Safeguard facility data'!$Q$4:$Q$312,$A133,'Safeguard facility data'!BB$4:BB$312,"&gt;0")</f>
        <v>0</v>
      </c>
      <c r="C133" s="67">
        <f>SUMIFS('Safeguard facility data'!BC$4:BC$312,'Safeguard facility data'!$Q$4:$Q$312,$A133,'Safeguard facility data'!BC$4:BC$312,"&gt;0")</f>
        <v>0</v>
      </c>
      <c r="D133" s="67">
        <f>SUMIFS('Safeguard facility data'!BD$4:BD$312,'Safeguard facility data'!$Q$4:$Q$312,$A133,'Safeguard facility data'!BD$4:BD$312,"&gt;0")</f>
        <v>0</v>
      </c>
      <c r="E133" s="67">
        <f>SUMIFS('Safeguard facility data'!BE$4:BE$312,'Safeguard facility data'!$Q$4:$Q$312,$A133,'Safeguard facility data'!BE$4:BE$312,"&gt;0")</f>
        <v>0</v>
      </c>
      <c r="F133" s="67">
        <f>SUMIFS('Safeguard facility data'!BF$4:BF$312,'Safeguard facility data'!$Q$4:$Q$312,$A133,'Safeguard facility data'!BF$4:BF$312,"&gt;0")</f>
        <v>0</v>
      </c>
      <c r="G133" s="67">
        <f t="shared" si="5"/>
        <v>0</v>
      </c>
      <c r="H133" s="67"/>
      <c r="I133" s="67"/>
      <c r="J133" s="67"/>
      <c r="K133" s="67"/>
      <c r="L133" s="67"/>
      <c r="M133" s="67"/>
      <c r="N133" s="67"/>
      <c r="O133" s="67"/>
      <c r="P133" s="67"/>
      <c r="Q133" s="67"/>
      <c r="R133" s="67"/>
      <c r="S133" s="67"/>
    </row>
    <row r="134" spans="1:19">
      <c r="A134" s="54" t="s">
        <v>196</v>
      </c>
      <c r="B134" s="67">
        <f>SUMIFS('Safeguard facility data'!BB$4:BB$312,'Safeguard facility data'!$Q$4:$Q$312,$A134,'Safeguard facility data'!BB$4:BB$312,"&gt;0")</f>
        <v>0</v>
      </c>
      <c r="C134" s="67">
        <f>SUMIFS('Safeguard facility data'!BC$4:BC$312,'Safeguard facility data'!$Q$4:$Q$312,$A134,'Safeguard facility data'!BC$4:BC$312,"&gt;0")</f>
        <v>0</v>
      </c>
      <c r="D134" s="67">
        <f>SUMIFS('Safeguard facility data'!BD$4:BD$312,'Safeguard facility data'!$Q$4:$Q$312,$A134,'Safeguard facility data'!BD$4:BD$312,"&gt;0")</f>
        <v>0</v>
      </c>
      <c r="E134" s="67">
        <f>SUMIFS('Safeguard facility data'!BE$4:BE$312,'Safeguard facility data'!$Q$4:$Q$312,$A134,'Safeguard facility data'!BE$4:BE$312,"&gt;0")</f>
        <v>0</v>
      </c>
      <c r="F134" s="67">
        <f>SUMIFS('Safeguard facility data'!BF$4:BF$312,'Safeguard facility data'!$Q$4:$Q$312,$A134,'Safeguard facility data'!BF$4:BF$312,"&gt;0")</f>
        <v>0</v>
      </c>
      <c r="G134" s="67">
        <f t="shared" si="5"/>
        <v>0</v>
      </c>
      <c r="H134" s="67"/>
      <c r="I134" s="67"/>
      <c r="J134" s="67"/>
      <c r="K134" s="67"/>
      <c r="L134" s="67"/>
      <c r="M134" s="67"/>
      <c r="N134" s="67"/>
      <c r="O134" s="67"/>
      <c r="P134" s="67"/>
      <c r="Q134" s="67"/>
      <c r="R134" s="67"/>
      <c r="S134" s="67"/>
    </row>
    <row r="135" spans="1:19">
      <c r="A135" s="54" t="s">
        <v>197</v>
      </c>
      <c r="B135" s="67">
        <f>SUMIFS('Safeguard facility data'!BB$4:BB$312,'Safeguard facility data'!$Q$4:$Q$312,$A135,'Safeguard facility data'!BB$4:BB$312,"&gt;0")</f>
        <v>0</v>
      </c>
      <c r="C135" s="67">
        <f>SUMIFS('Safeguard facility data'!BC$4:BC$312,'Safeguard facility data'!$Q$4:$Q$312,$A135,'Safeguard facility data'!BC$4:BC$312,"&gt;0")</f>
        <v>0</v>
      </c>
      <c r="D135" s="67">
        <f>SUMIFS('Safeguard facility data'!BD$4:BD$312,'Safeguard facility data'!$Q$4:$Q$312,$A135,'Safeguard facility data'!BD$4:BD$312,"&gt;0")</f>
        <v>0</v>
      </c>
      <c r="E135" s="67">
        <f>SUMIFS('Safeguard facility data'!BE$4:BE$312,'Safeguard facility data'!$Q$4:$Q$312,$A135,'Safeguard facility data'!BE$4:BE$312,"&gt;0")</f>
        <v>0</v>
      </c>
      <c r="F135" s="67">
        <f>SUMIFS('Safeguard facility data'!BF$4:BF$312,'Safeguard facility data'!$Q$4:$Q$312,$A135,'Safeguard facility data'!BF$4:BF$312,"&gt;0")</f>
        <v>0</v>
      </c>
      <c r="G135" s="67">
        <f t="shared" si="5"/>
        <v>0</v>
      </c>
      <c r="H135" s="67"/>
      <c r="I135" s="67"/>
      <c r="J135" s="67"/>
      <c r="K135" s="67"/>
      <c r="L135" s="67"/>
      <c r="M135" s="67"/>
      <c r="N135" s="67"/>
      <c r="O135" s="67"/>
      <c r="P135" s="67"/>
      <c r="Q135" s="67"/>
      <c r="R135" s="67"/>
      <c r="S135" s="67"/>
    </row>
    <row r="136" spans="1:19">
      <c r="A136" s="54" t="s">
        <v>113</v>
      </c>
      <c r="B136" s="67">
        <f>SUMIFS('Safeguard facility data'!BB$4:BB$312,'Safeguard facility data'!$Q$4:$Q$312,$A136,'Safeguard facility data'!BB$4:BB$312,"&gt;0")</f>
        <v>0</v>
      </c>
      <c r="C136" s="67">
        <f>SUMIFS('Safeguard facility data'!BC$4:BC$312,'Safeguard facility data'!$Q$4:$Q$312,$A136,'Safeguard facility data'!BC$4:BC$312,"&gt;0")</f>
        <v>0</v>
      </c>
      <c r="D136" s="67">
        <f>SUMIFS('Safeguard facility data'!BD$4:BD$312,'Safeguard facility data'!$Q$4:$Q$312,$A136,'Safeguard facility data'!BD$4:BD$312,"&gt;0")</f>
        <v>0</v>
      </c>
      <c r="E136" s="67">
        <f>SUMIFS('Safeguard facility data'!BE$4:BE$312,'Safeguard facility data'!$Q$4:$Q$312,$A136,'Safeguard facility data'!BE$4:BE$312,"&gt;0")</f>
        <v>0</v>
      </c>
      <c r="F136" s="67">
        <f>SUMIFS('Safeguard facility data'!BF$4:BF$312,'Safeguard facility data'!$Q$4:$Q$312,$A136,'Safeguard facility data'!BF$4:BF$312,"&gt;0")</f>
        <v>0</v>
      </c>
      <c r="G136" s="67">
        <f t="shared" si="5"/>
        <v>0</v>
      </c>
      <c r="H136" s="67"/>
      <c r="I136" s="67"/>
      <c r="J136" s="67"/>
      <c r="K136" s="67"/>
      <c r="L136" s="67"/>
      <c r="M136" s="67"/>
      <c r="N136" s="67"/>
      <c r="O136" s="67"/>
      <c r="P136" s="67"/>
      <c r="Q136" s="67"/>
      <c r="R136" s="67"/>
      <c r="S136" s="67"/>
    </row>
    <row r="137" spans="1:19">
      <c r="A137" s="54" t="s">
        <v>198</v>
      </c>
      <c r="B137" s="67">
        <f>SUMIFS('Safeguard facility data'!BB$4:BB$312,'Safeguard facility data'!$Q$4:$Q$312,$A137,'Safeguard facility data'!BB$4:BB$312,"&gt;0")</f>
        <v>0</v>
      </c>
      <c r="C137" s="67">
        <f>SUMIFS('Safeguard facility data'!BC$4:BC$312,'Safeguard facility data'!$Q$4:$Q$312,$A137,'Safeguard facility data'!BC$4:BC$312,"&gt;0")</f>
        <v>0</v>
      </c>
      <c r="D137" s="67">
        <f>SUMIFS('Safeguard facility data'!BD$4:BD$312,'Safeguard facility data'!$Q$4:$Q$312,$A137,'Safeguard facility data'!BD$4:BD$312,"&gt;0")</f>
        <v>0</v>
      </c>
      <c r="E137" s="67">
        <f>SUMIFS('Safeguard facility data'!BE$4:BE$312,'Safeguard facility data'!$Q$4:$Q$312,$A137,'Safeguard facility data'!BE$4:BE$312,"&gt;0")</f>
        <v>0</v>
      </c>
      <c r="F137" s="67">
        <f>SUMIFS('Safeguard facility data'!BF$4:BF$312,'Safeguard facility data'!$Q$4:$Q$312,$A137,'Safeguard facility data'!BF$4:BF$312,"&gt;0")</f>
        <v>0</v>
      </c>
      <c r="G137" s="67">
        <f t="shared" si="5"/>
        <v>0</v>
      </c>
      <c r="H137" s="67"/>
      <c r="I137" s="67"/>
      <c r="J137" s="67"/>
      <c r="K137" s="67"/>
      <c r="L137" s="67"/>
      <c r="M137" s="67"/>
      <c r="N137" s="67"/>
      <c r="O137" s="67"/>
      <c r="P137" s="67"/>
      <c r="Q137" s="67"/>
      <c r="R137" s="67"/>
      <c r="S137" s="67"/>
    </row>
    <row r="138" spans="1:19">
      <c r="A138" s="54" t="s">
        <v>97</v>
      </c>
      <c r="B138" s="67">
        <f>SUMIFS('Safeguard facility data'!BB$4:BB$312,'Safeguard facility data'!$Q$4:$Q$312,$A138,'Safeguard facility data'!BB$4:BB$312,"&gt;0")</f>
        <v>0</v>
      </c>
      <c r="C138" s="67">
        <f>SUMIFS('Safeguard facility data'!BC$4:BC$312,'Safeguard facility data'!$Q$4:$Q$312,$A138,'Safeguard facility data'!BC$4:BC$312,"&gt;0")</f>
        <v>0</v>
      </c>
      <c r="D138" s="67">
        <f>SUMIFS('Safeguard facility data'!BD$4:BD$312,'Safeguard facility data'!$Q$4:$Q$312,$A138,'Safeguard facility data'!BD$4:BD$312,"&gt;0")</f>
        <v>0</v>
      </c>
      <c r="E138" s="67">
        <f>SUMIFS('Safeguard facility data'!BE$4:BE$312,'Safeguard facility data'!$Q$4:$Q$312,$A138,'Safeguard facility data'!BE$4:BE$312,"&gt;0")</f>
        <v>0</v>
      </c>
      <c r="F138" s="67">
        <f>SUMIFS('Safeguard facility data'!BF$4:BF$312,'Safeguard facility data'!$Q$4:$Q$312,$A138,'Safeguard facility data'!BF$4:BF$312,"&gt;0")</f>
        <v>0</v>
      </c>
      <c r="G138" s="67">
        <f t="shared" si="5"/>
        <v>0</v>
      </c>
      <c r="H138" s="67"/>
      <c r="I138" s="67"/>
      <c r="J138" s="67"/>
      <c r="K138" s="67"/>
      <c r="L138" s="67"/>
      <c r="M138" s="67"/>
      <c r="N138" s="67"/>
      <c r="O138" s="67"/>
      <c r="P138" s="67"/>
      <c r="Q138" s="67"/>
      <c r="R138" s="67"/>
      <c r="S138" s="67"/>
    </row>
    <row r="139" spans="1:19">
      <c r="A139" s="54" t="s">
        <v>276</v>
      </c>
      <c r="B139" s="67">
        <f>SUMIFS('Safeguard facility data'!BB$4:BB$312,'Safeguard facility data'!$Q$4:$Q$312,$A139,'Safeguard facility data'!BB$4:BB$312,"&gt;0")</f>
        <v>0</v>
      </c>
      <c r="C139" s="67">
        <f>SUMIFS('Safeguard facility data'!BC$4:BC$312,'Safeguard facility data'!$Q$4:$Q$312,$A139,'Safeguard facility data'!BC$4:BC$312,"&gt;0")</f>
        <v>0</v>
      </c>
      <c r="D139" s="67">
        <f>SUMIFS('Safeguard facility data'!BD$4:BD$312,'Safeguard facility data'!$Q$4:$Q$312,$A139,'Safeguard facility data'!BD$4:BD$312,"&gt;0")</f>
        <v>0</v>
      </c>
      <c r="E139" s="67">
        <f>SUMIFS('Safeguard facility data'!BE$4:BE$312,'Safeguard facility data'!$Q$4:$Q$312,$A139,'Safeguard facility data'!BE$4:BE$312,"&gt;0")</f>
        <v>0</v>
      </c>
      <c r="F139" s="67">
        <f>SUMIFS('Safeguard facility data'!BF$4:BF$312,'Safeguard facility data'!$Q$4:$Q$312,$A139,'Safeguard facility data'!BF$4:BF$312,"&gt;0")</f>
        <v>0</v>
      </c>
      <c r="G139" s="67">
        <f t="shared" si="5"/>
        <v>0</v>
      </c>
      <c r="H139" s="67"/>
      <c r="I139" s="67"/>
      <c r="J139" s="67"/>
      <c r="K139" s="67"/>
      <c r="L139" s="67"/>
      <c r="M139" s="67"/>
      <c r="N139" s="67"/>
      <c r="O139" s="67"/>
      <c r="P139" s="67"/>
      <c r="Q139" s="67"/>
      <c r="R139" s="67"/>
      <c r="S139" s="67"/>
    </row>
    <row r="140" spans="1:19">
      <c r="A140" s="54" t="s">
        <v>199</v>
      </c>
      <c r="B140" s="67">
        <f>SUMIFS('Safeguard facility data'!BB$4:BB$312,'Safeguard facility data'!$Q$4:$Q$312,$A140,'Safeguard facility data'!BB$4:BB$312,"&gt;0")</f>
        <v>0</v>
      </c>
      <c r="C140" s="67">
        <f>SUMIFS('Safeguard facility data'!BC$4:BC$312,'Safeguard facility data'!$Q$4:$Q$312,$A140,'Safeguard facility data'!BC$4:BC$312,"&gt;0")</f>
        <v>0</v>
      </c>
      <c r="D140" s="67">
        <f>SUMIFS('Safeguard facility data'!BD$4:BD$312,'Safeguard facility data'!$Q$4:$Q$312,$A140,'Safeguard facility data'!BD$4:BD$312,"&gt;0")</f>
        <v>0</v>
      </c>
      <c r="E140" s="67">
        <f>SUMIFS('Safeguard facility data'!BE$4:BE$312,'Safeguard facility data'!$Q$4:$Q$312,$A140,'Safeguard facility data'!BE$4:BE$312,"&gt;0")</f>
        <v>0</v>
      </c>
      <c r="F140" s="67">
        <f>SUMIFS('Safeguard facility data'!BF$4:BF$312,'Safeguard facility data'!$Q$4:$Q$312,$A140,'Safeguard facility data'!BF$4:BF$312,"&gt;0")</f>
        <v>0</v>
      </c>
      <c r="G140" s="67">
        <f t="shared" si="5"/>
        <v>0</v>
      </c>
      <c r="H140" s="67"/>
      <c r="I140" s="67"/>
      <c r="J140" s="67"/>
      <c r="K140" s="67"/>
      <c r="L140" s="67"/>
      <c r="M140" s="67"/>
      <c r="N140" s="67"/>
      <c r="O140" s="67"/>
      <c r="P140" s="67"/>
      <c r="Q140" s="67"/>
      <c r="R140" s="67"/>
      <c r="S140" s="67"/>
    </row>
    <row r="141" spans="1:19">
      <c r="A141" s="54" t="s">
        <v>200</v>
      </c>
      <c r="B141" s="67">
        <f>SUMIFS('Safeguard facility data'!BB$4:BB$312,'Safeguard facility data'!$Q$4:$Q$312,$A141,'Safeguard facility data'!BB$4:BB$312,"&gt;0")</f>
        <v>0</v>
      </c>
      <c r="C141" s="67">
        <f>SUMIFS('Safeguard facility data'!BC$4:BC$312,'Safeguard facility data'!$Q$4:$Q$312,$A141,'Safeguard facility data'!BC$4:BC$312,"&gt;0")</f>
        <v>0</v>
      </c>
      <c r="D141" s="67">
        <f>SUMIFS('Safeguard facility data'!BD$4:BD$312,'Safeguard facility data'!$Q$4:$Q$312,$A141,'Safeguard facility data'!BD$4:BD$312,"&gt;0")</f>
        <v>0</v>
      </c>
      <c r="E141" s="67">
        <f>SUMIFS('Safeguard facility data'!BE$4:BE$312,'Safeguard facility data'!$Q$4:$Q$312,$A141,'Safeguard facility data'!BE$4:BE$312,"&gt;0")</f>
        <v>0</v>
      </c>
      <c r="F141" s="67">
        <f>SUMIFS('Safeguard facility data'!BF$4:BF$312,'Safeguard facility data'!$Q$4:$Q$312,$A141,'Safeguard facility data'!BF$4:BF$312,"&gt;0")</f>
        <v>0</v>
      </c>
      <c r="G141" s="67">
        <f t="shared" si="5"/>
        <v>0</v>
      </c>
      <c r="H141" s="67"/>
      <c r="I141" s="67"/>
      <c r="J141" s="67"/>
      <c r="K141" s="67"/>
      <c r="L141" s="67"/>
      <c r="M141" s="67"/>
      <c r="N141" s="67"/>
      <c r="O141" s="67"/>
      <c r="P141" s="67"/>
      <c r="Q141" s="67"/>
      <c r="R141" s="67"/>
      <c r="S141" s="67"/>
    </row>
    <row r="142" spans="1:19">
      <c r="A142" s="54" t="s">
        <v>201</v>
      </c>
      <c r="B142" s="67">
        <f>SUMIFS('Safeguard facility data'!BB$4:BB$312,'Safeguard facility data'!$Q$4:$Q$312,$A142,'Safeguard facility data'!BB$4:BB$312,"&gt;0")</f>
        <v>0</v>
      </c>
      <c r="C142" s="67">
        <f>SUMIFS('Safeguard facility data'!BC$4:BC$312,'Safeguard facility data'!$Q$4:$Q$312,$A142,'Safeguard facility data'!BC$4:BC$312,"&gt;0")</f>
        <v>0</v>
      </c>
      <c r="D142" s="67">
        <f>SUMIFS('Safeguard facility data'!BD$4:BD$312,'Safeguard facility data'!$Q$4:$Q$312,$A142,'Safeguard facility data'!BD$4:BD$312,"&gt;0")</f>
        <v>0</v>
      </c>
      <c r="E142" s="67">
        <f>SUMIFS('Safeguard facility data'!BE$4:BE$312,'Safeguard facility data'!$Q$4:$Q$312,$A142,'Safeguard facility data'!BE$4:BE$312,"&gt;0")</f>
        <v>0</v>
      </c>
      <c r="F142" s="67">
        <f>SUMIFS('Safeguard facility data'!BF$4:BF$312,'Safeguard facility data'!$Q$4:$Q$312,$A142,'Safeguard facility data'!BF$4:BF$312,"&gt;0")</f>
        <v>0</v>
      </c>
      <c r="G142" s="67">
        <f t="shared" si="5"/>
        <v>0</v>
      </c>
      <c r="H142" s="67"/>
      <c r="I142" s="67"/>
      <c r="J142" s="67"/>
      <c r="K142" s="67"/>
      <c r="L142" s="67"/>
      <c r="M142" s="67"/>
      <c r="N142" s="67"/>
      <c r="O142" s="67"/>
      <c r="P142" s="67"/>
      <c r="Q142" s="67"/>
      <c r="R142" s="67"/>
      <c r="S142" s="67"/>
    </row>
    <row r="143" spans="1:19">
      <c r="A143" s="54" t="s">
        <v>202</v>
      </c>
      <c r="B143" s="67">
        <f>SUMIFS('Safeguard facility data'!BB$4:BB$312,'Safeguard facility data'!$Q$4:$Q$312,$A143,'Safeguard facility data'!BB$4:BB$312,"&gt;0")</f>
        <v>0</v>
      </c>
      <c r="C143" s="67">
        <f>SUMIFS('Safeguard facility data'!BC$4:BC$312,'Safeguard facility data'!$Q$4:$Q$312,$A143,'Safeguard facility data'!BC$4:BC$312,"&gt;0")</f>
        <v>0</v>
      </c>
      <c r="D143" s="67">
        <f>SUMIFS('Safeguard facility data'!BD$4:BD$312,'Safeguard facility data'!$Q$4:$Q$312,$A143,'Safeguard facility data'!BD$4:BD$312,"&gt;0")</f>
        <v>0</v>
      </c>
      <c r="E143" s="67">
        <f>SUMIFS('Safeguard facility data'!BE$4:BE$312,'Safeguard facility data'!$Q$4:$Q$312,$A143,'Safeguard facility data'!BE$4:BE$312,"&gt;0")</f>
        <v>0</v>
      </c>
      <c r="F143" s="67">
        <f>SUMIFS('Safeguard facility data'!BF$4:BF$312,'Safeguard facility data'!$Q$4:$Q$312,$A143,'Safeguard facility data'!BF$4:BF$312,"&gt;0")</f>
        <v>0</v>
      </c>
      <c r="G143" s="67">
        <f t="shared" si="5"/>
        <v>0</v>
      </c>
      <c r="H143" s="67"/>
      <c r="I143" s="67"/>
      <c r="J143" s="67"/>
      <c r="K143" s="67"/>
      <c r="L143" s="67"/>
      <c r="M143" s="67"/>
      <c r="N143" s="67"/>
      <c r="O143" s="67"/>
      <c r="P143" s="67"/>
      <c r="Q143" s="67"/>
      <c r="R143" s="67"/>
      <c r="S143" s="67"/>
    </row>
    <row r="144" spans="1:19">
      <c r="A144" s="54" t="s">
        <v>100</v>
      </c>
      <c r="B144" s="67">
        <f>SUMIFS('Safeguard facility data'!BB$4:BB$312,'Safeguard facility data'!$Q$4:$Q$312,$A144,'Safeguard facility data'!BB$4:BB$312,"&gt;0")</f>
        <v>0</v>
      </c>
      <c r="C144" s="67">
        <f>SUMIFS('Safeguard facility data'!BC$4:BC$312,'Safeguard facility data'!$Q$4:$Q$312,$A144,'Safeguard facility data'!BC$4:BC$312,"&gt;0")</f>
        <v>0</v>
      </c>
      <c r="D144" s="67">
        <f>SUMIFS('Safeguard facility data'!BD$4:BD$312,'Safeguard facility data'!$Q$4:$Q$312,$A144,'Safeguard facility data'!BD$4:BD$312,"&gt;0")</f>
        <v>0</v>
      </c>
      <c r="E144" s="67">
        <f>SUMIFS('Safeguard facility data'!BE$4:BE$312,'Safeguard facility data'!$Q$4:$Q$312,$A144,'Safeguard facility data'!BE$4:BE$312,"&gt;0")</f>
        <v>0</v>
      </c>
      <c r="F144" s="67">
        <f>SUMIFS('Safeguard facility data'!BF$4:BF$312,'Safeguard facility data'!$Q$4:$Q$312,$A144,'Safeguard facility data'!BF$4:BF$312,"&gt;0")</f>
        <v>0</v>
      </c>
      <c r="G144" s="67">
        <f t="shared" si="5"/>
        <v>0</v>
      </c>
      <c r="H144" s="67"/>
      <c r="I144" s="67"/>
      <c r="J144" s="67"/>
      <c r="K144" s="67"/>
      <c r="L144" s="67"/>
      <c r="M144" s="67"/>
      <c r="N144" s="67"/>
      <c r="O144" s="67"/>
      <c r="P144" s="67"/>
      <c r="Q144" s="67"/>
      <c r="R144" s="67"/>
      <c r="S144" s="67"/>
    </row>
    <row r="145" spans="1:19">
      <c r="A145" s="54" t="s">
        <v>103</v>
      </c>
      <c r="B145" s="67">
        <f>SUMIFS('Safeguard facility data'!BB$4:BB$312,'Safeguard facility data'!$Q$4:$Q$312,$A145,'Safeguard facility data'!BB$4:BB$312,"&gt;0")</f>
        <v>0</v>
      </c>
      <c r="C145" s="67">
        <f>SUMIFS('Safeguard facility data'!BC$4:BC$312,'Safeguard facility data'!$Q$4:$Q$312,$A145,'Safeguard facility data'!BC$4:BC$312,"&gt;0")</f>
        <v>0</v>
      </c>
      <c r="D145" s="67">
        <f>SUMIFS('Safeguard facility data'!BD$4:BD$312,'Safeguard facility data'!$Q$4:$Q$312,$A145,'Safeguard facility data'!BD$4:BD$312,"&gt;0")</f>
        <v>0</v>
      </c>
      <c r="E145" s="67">
        <f>SUMIFS('Safeguard facility data'!BE$4:BE$312,'Safeguard facility data'!$Q$4:$Q$312,$A145,'Safeguard facility data'!BE$4:BE$312,"&gt;0")</f>
        <v>0</v>
      </c>
      <c r="F145" s="67">
        <f>SUMIFS('Safeguard facility data'!BF$4:BF$312,'Safeguard facility data'!$Q$4:$Q$312,$A145,'Safeguard facility data'!BF$4:BF$312,"&gt;0")</f>
        <v>0</v>
      </c>
      <c r="G145" s="67">
        <f t="shared" si="5"/>
        <v>0</v>
      </c>
      <c r="H145" s="67"/>
      <c r="I145" s="67"/>
      <c r="J145" s="67"/>
      <c r="K145" s="67"/>
      <c r="L145" s="67"/>
      <c r="M145" s="67"/>
      <c r="N145" s="67"/>
      <c r="O145" s="67"/>
      <c r="P145" s="67"/>
      <c r="Q145" s="67"/>
      <c r="R145" s="67"/>
      <c r="S145" s="67"/>
    </row>
    <row r="146" spans="1:19">
      <c r="A146" s="54" t="s">
        <v>105</v>
      </c>
      <c r="B146" s="67">
        <f>SUMIFS('Safeguard facility data'!BB$4:BB$312,'Safeguard facility data'!$Q$4:$Q$312,$A146,'Safeguard facility data'!BB$4:BB$312,"&gt;0")</f>
        <v>0</v>
      </c>
      <c r="C146" s="67">
        <f>SUMIFS('Safeguard facility data'!BC$4:BC$312,'Safeguard facility data'!$Q$4:$Q$312,$A146,'Safeguard facility data'!BC$4:BC$312,"&gt;0")</f>
        <v>0</v>
      </c>
      <c r="D146" s="67">
        <f>SUMIFS('Safeguard facility data'!BD$4:BD$312,'Safeguard facility data'!$Q$4:$Q$312,$A146,'Safeguard facility data'!BD$4:BD$312,"&gt;0")</f>
        <v>0</v>
      </c>
      <c r="E146" s="67">
        <f>SUMIFS('Safeguard facility data'!BE$4:BE$312,'Safeguard facility data'!$Q$4:$Q$312,$A146,'Safeguard facility data'!BE$4:BE$312,"&gt;0")</f>
        <v>0</v>
      </c>
      <c r="F146" s="67">
        <f>SUMIFS('Safeguard facility data'!BF$4:BF$312,'Safeguard facility data'!$Q$4:$Q$312,$A146,'Safeguard facility data'!BF$4:BF$312,"&gt;0")</f>
        <v>0</v>
      </c>
      <c r="G146" s="67">
        <f t="shared" si="5"/>
        <v>0</v>
      </c>
      <c r="H146" s="67"/>
      <c r="I146" s="67"/>
      <c r="J146" s="67"/>
      <c r="K146" s="67"/>
      <c r="L146" s="67"/>
      <c r="M146" s="67"/>
      <c r="N146" s="67"/>
      <c r="O146" s="67"/>
      <c r="P146" s="67"/>
      <c r="Q146" s="67"/>
      <c r="R146" s="67"/>
      <c r="S146" s="67"/>
    </row>
    <row r="147" spans="1:19">
      <c r="A147" s="54" t="s">
        <v>203</v>
      </c>
      <c r="B147" s="67">
        <f>SUMIFS('Safeguard facility data'!BB$4:BB$312,'Safeguard facility data'!$Q$4:$Q$312,$A147,'Safeguard facility data'!BB$4:BB$312,"&gt;0")</f>
        <v>0</v>
      </c>
      <c r="C147" s="67">
        <f>SUMIFS('Safeguard facility data'!BC$4:BC$312,'Safeguard facility data'!$Q$4:$Q$312,$A147,'Safeguard facility data'!BC$4:BC$312,"&gt;0")</f>
        <v>0</v>
      </c>
      <c r="D147" s="67">
        <f>SUMIFS('Safeguard facility data'!BD$4:BD$312,'Safeguard facility data'!$Q$4:$Q$312,$A147,'Safeguard facility data'!BD$4:BD$312,"&gt;0")</f>
        <v>0</v>
      </c>
      <c r="E147" s="67">
        <f>SUMIFS('Safeguard facility data'!BE$4:BE$312,'Safeguard facility data'!$Q$4:$Q$312,$A147,'Safeguard facility data'!BE$4:BE$312,"&gt;0")</f>
        <v>0</v>
      </c>
      <c r="F147" s="67">
        <f>SUMIFS('Safeguard facility data'!BF$4:BF$312,'Safeguard facility data'!$Q$4:$Q$312,$A147,'Safeguard facility data'!BF$4:BF$312,"&gt;0")</f>
        <v>0</v>
      </c>
      <c r="G147" s="67">
        <f t="shared" si="5"/>
        <v>0</v>
      </c>
      <c r="H147" s="67"/>
      <c r="I147" s="67"/>
      <c r="J147" s="67"/>
      <c r="K147" s="67"/>
      <c r="L147" s="67"/>
      <c r="M147" s="67"/>
      <c r="N147" s="67"/>
      <c r="O147" s="67"/>
      <c r="P147" s="67"/>
      <c r="Q147" s="67"/>
      <c r="R147" s="67"/>
      <c r="S147" s="67"/>
    </row>
    <row r="148" spans="1:19">
      <c r="A148" s="54" t="s">
        <v>251</v>
      </c>
      <c r="B148" s="67">
        <f>SUMIFS('Safeguard facility data'!BB$4:BB$312,'Safeguard facility data'!$Q$4:$Q$312,$A148,'Safeguard facility data'!BB$4:BB$312,"&gt;0")</f>
        <v>0</v>
      </c>
      <c r="C148" s="67">
        <f>SUMIFS('Safeguard facility data'!BC$4:BC$312,'Safeguard facility data'!$Q$4:$Q$312,$A148,'Safeguard facility data'!BC$4:BC$312,"&gt;0")</f>
        <v>0</v>
      </c>
      <c r="D148" s="67">
        <f>SUMIFS('Safeguard facility data'!BD$4:BD$312,'Safeguard facility data'!$Q$4:$Q$312,$A148,'Safeguard facility data'!BD$4:BD$312,"&gt;0")</f>
        <v>0</v>
      </c>
      <c r="E148" s="67">
        <f>SUMIFS('Safeguard facility data'!BE$4:BE$312,'Safeguard facility data'!$Q$4:$Q$312,$A148,'Safeguard facility data'!BE$4:BE$312,"&gt;0")</f>
        <v>0</v>
      </c>
      <c r="F148" s="67">
        <f>SUMIFS('Safeguard facility data'!BF$4:BF$312,'Safeguard facility data'!$Q$4:$Q$312,$A148,'Safeguard facility data'!BF$4:BF$312,"&gt;0")</f>
        <v>0</v>
      </c>
      <c r="G148" s="67">
        <f t="shared" si="5"/>
        <v>0</v>
      </c>
      <c r="H148" s="67"/>
      <c r="I148" s="67"/>
      <c r="J148" s="67"/>
      <c r="K148" s="67"/>
      <c r="L148" s="67"/>
      <c r="M148" s="67"/>
      <c r="N148" s="67"/>
      <c r="O148" s="67"/>
      <c r="P148" s="67"/>
      <c r="Q148" s="67"/>
      <c r="R148" s="67"/>
      <c r="S148" s="67"/>
    </row>
    <row r="149" spans="1:19">
      <c r="A149" s="54" t="s">
        <v>252</v>
      </c>
      <c r="B149" s="67">
        <f>SUMIFS('Safeguard facility data'!BB$4:BB$312,'Safeguard facility data'!$Q$4:$Q$312,$A149,'Safeguard facility data'!BB$4:BB$312,"&gt;0")</f>
        <v>0</v>
      </c>
      <c r="C149" s="67">
        <f>SUMIFS('Safeguard facility data'!BC$4:BC$312,'Safeguard facility data'!$Q$4:$Q$312,$A149,'Safeguard facility data'!BC$4:BC$312,"&gt;0")</f>
        <v>0</v>
      </c>
      <c r="D149" s="67">
        <f>SUMIFS('Safeguard facility data'!BD$4:BD$312,'Safeguard facility data'!$Q$4:$Q$312,$A149,'Safeguard facility data'!BD$4:BD$312,"&gt;0")</f>
        <v>0</v>
      </c>
      <c r="E149" s="67">
        <f>SUMIFS('Safeguard facility data'!BE$4:BE$312,'Safeguard facility data'!$Q$4:$Q$312,$A149,'Safeguard facility data'!BE$4:BE$312,"&gt;0")</f>
        <v>0</v>
      </c>
      <c r="F149" s="67">
        <f>SUMIFS('Safeguard facility data'!BF$4:BF$312,'Safeguard facility data'!$Q$4:$Q$312,$A149,'Safeguard facility data'!BF$4:BF$312,"&gt;0")</f>
        <v>0</v>
      </c>
      <c r="G149" s="67">
        <f t="shared" si="5"/>
        <v>0</v>
      </c>
      <c r="H149" s="67"/>
      <c r="I149" s="67"/>
      <c r="J149" s="67"/>
      <c r="K149" s="67"/>
      <c r="L149" s="67"/>
      <c r="M149" s="67"/>
      <c r="N149" s="67"/>
      <c r="O149" s="67"/>
      <c r="P149" s="67"/>
      <c r="Q149" s="67"/>
      <c r="R149" s="67"/>
      <c r="S149" s="67"/>
    </row>
    <row r="150" spans="1:19">
      <c r="A150" s="54" t="s">
        <v>205</v>
      </c>
      <c r="B150" s="67">
        <f>SUMIFS('Safeguard facility data'!BB$4:BB$312,'Safeguard facility data'!$Q$4:$Q$312,$A150,'Safeguard facility data'!BB$4:BB$312,"&gt;0")</f>
        <v>0</v>
      </c>
      <c r="C150" s="67">
        <f>SUMIFS('Safeguard facility data'!BC$4:BC$312,'Safeguard facility data'!$Q$4:$Q$312,$A150,'Safeguard facility data'!BC$4:BC$312,"&gt;0")</f>
        <v>0</v>
      </c>
      <c r="D150" s="67">
        <f>SUMIFS('Safeguard facility data'!BD$4:BD$312,'Safeguard facility data'!$Q$4:$Q$312,$A150,'Safeguard facility data'!BD$4:BD$312,"&gt;0")</f>
        <v>0</v>
      </c>
      <c r="E150" s="67">
        <f>SUMIFS('Safeguard facility data'!BE$4:BE$312,'Safeguard facility data'!$Q$4:$Q$312,$A150,'Safeguard facility data'!BE$4:BE$312,"&gt;0")</f>
        <v>0</v>
      </c>
      <c r="F150" s="67">
        <f>SUMIFS('Safeguard facility data'!BF$4:BF$312,'Safeguard facility data'!$Q$4:$Q$312,$A150,'Safeguard facility data'!BF$4:BF$312,"&gt;0")</f>
        <v>0</v>
      </c>
      <c r="G150" s="67">
        <f t="shared" si="5"/>
        <v>0</v>
      </c>
      <c r="H150" s="67"/>
      <c r="I150" s="67"/>
      <c r="J150" s="67"/>
      <c r="K150" s="67"/>
      <c r="L150" s="67"/>
      <c r="M150" s="67"/>
      <c r="N150" s="67"/>
      <c r="O150" s="67"/>
      <c r="P150" s="67"/>
      <c r="Q150" s="67"/>
      <c r="R150" s="67"/>
      <c r="S150" s="67"/>
    </row>
    <row r="151" spans="1:19">
      <c r="A151" s="54" t="s">
        <v>84</v>
      </c>
      <c r="B151" s="67">
        <f>SUMIFS('Safeguard facility data'!BB$4:BB$312,'Safeguard facility data'!$Q$4:$Q$312,$A151,'Safeguard facility data'!BB$4:BB$312,"&gt;0")</f>
        <v>0</v>
      </c>
      <c r="C151" s="67">
        <f>SUMIFS('Safeguard facility data'!BC$4:BC$312,'Safeguard facility data'!$Q$4:$Q$312,$A151,'Safeguard facility data'!BC$4:BC$312,"&gt;0")</f>
        <v>0</v>
      </c>
      <c r="D151" s="67">
        <f>SUMIFS('Safeguard facility data'!BD$4:BD$312,'Safeguard facility data'!$Q$4:$Q$312,$A151,'Safeguard facility data'!BD$4:BD$312,"&gt;0")</f>
        <v>0</v>
      </c>
      <c r="E151" s="67">
        <f>SUMIFS('Safeguard facility data'!BE$4:BE$312,'Safeguard facility data'!$Q$4:$Q$312,$A151,'Safeguard facility data'!BE$4:BE$312,"&gt;0")</f>
        <v>0</v>
      </c>
      <c r="F151" s="67">
        <f>SUMIFS('Safeguard facility data'!BF$4:BF$312,'Safeguard facility data'!$Q$4:$Q$312,$A151,'Safeguard facility data'!BF$4:BF$312,"&gt;0")</f>
        <v>0</v>
      </c>
      <c r="G151" s="67">
        <f t="shared" si="5"/>
        <v>0</v>
      </c>
      <c r="H151" s="67"/>
      <c r="I151" s="67"/>
      <c r="J151" s="67"/>
      <c r="K151" s="67"/>
      <c r="L151" s="67"/>
      <c r="M151" s="67"/>
      <c r="N151" s="67"/>
      <c r="O151" s="67"/>
      <c r="P151" s="67"/>
      <c r="Q151" s="67"/>
      <c r="R151" s="67"/>
      <c r="S151" s="67"/>
    </row>
    <row r="152" spans="1:19">
      <c r="A152" s="54" t="s">
        <v>206</v>
      </c>
      <c r="B152" s="67">
        <f>SUMIFS('Safeguard facility data'!BB$4:BB$312,'Safeguard facility data'!$Q$4:$Q$312,$A152,'Safeguard facility data'!BB$4:BB$312,"&gt;0")</f>
        <v>0</v>
      </c>
      <c r="C152" s="67">
        <f>SUMIFS('Safeguard facility data'!BC$4:BC$312,'Safeguard facility data'!$Q$4:$Q$312,$A152,'Safeguard facility data'!BC$4:BC$312,"&gt;0")</f>
        <v>0</v>
      </c>
      <c r="D152" s="67">
        <f>SUMIFS('Safeguard facility data'!BD$4:BD$312,'Safeguard facility data'!$Q$4:$Q$312,$A152,'Safeguard facility data'!BD$4:BD$312,"&gt;0")</f>
        <v>0</v>
      </c>
      <c r="E152" s="67">
        <f>SUMIFS('Safeguard facility data'!BE$4:BE$312,'Safeguard facility data'!$Q$4:$Q$312,$A152,'Safeguard facility data'!BE$4:BE$312,"&gt;0")</f>
        <v>0</v>
      </c>
      <c r="F152" s="67">
        <f>SUMIFS('Safeguard facility data'!BF$4:BF$312,'Safeguard facility data'!$Q$4:$Q$312,$A152,'Safeguard facility data'!BF$4:BF$312,"&gt;0")</f>
        <v>0</v>
      </c>
      <c r="G152" s="67">
        <f t="shared" si="5"/>
        <v>0</v>
      </c>
      <c r="H152" s="67"/>
      <c r="I152" s="67"/>
      <c r="J152" s="67"/>
      <c r="K152" s="67"/>
      <c r="L152" s="67"/>
      <c r="M152" s="67"/>
      <c r="N152" s="67"/>
      <c r="O152" s="67"/>
      <c r="P152" s="67"/>
      <c r="Q152" s="67"/>
      <c r="R152" s="67"/>
      <c r="S152" s="67"/>
    </row>
    <row r="153" spans="1:19">
      <c r="A153" s="54" t="s">
        <v>207</v>
      </c>
      <c r="B153" s="67">
        <f>SUMIFS('Safeguard facility data'!BB$4:BB$312,'Safeguard facility data'!$Q$4:$Q$312,$A153,'Safeguard facility data'!BB$4:BB$312,"&gt;0")</f>
        <v>0</v>
      </c>
      <c r="C153" s="67">
        <f>SUMIFS('Safeguard facility data'!BC$4:BC$312,'Safeguard facility data'!$Q$4:$Q$312,$A153,'Safeguard facility data'!BC$4:BC$312,"&gt;0")</f>
        <v>0</v>
      </c>
      <c r="D153" s="67">
        <f>SUMIFS('Safeguard facility data'!BD$4:BD$312,'Safeguard facility data'!$Q$4:$Q$312,$A153,'Safeguard facility data'!BD$4:BD$312,"&gt;0")</f>
        <v>0</v>
      </c>
      <c r="E153" s="67">
        <f>SUMIFS('Safeguard facility data'!BE$4:BE$312,'Safeguard facility data'!$Q$4:$Q$312,$A153,'Safeguard facility data'!BE$4:BE$312,"&gt;0")</f>
        <v>0</v>
      </c>
      <c r="F153" s="67">
        <f>SUMIFS('Safeguard facility data'!BF$4:BF$312,'Safeguard facility data'!$Q$4:$Q$312,$A153,'Safeguard facility data'!BF$4:BF$312,"&gt;0")</f>
        <v>0</v>
      </c>
      <c r="G153" s="67">
        <f t="shared" si="5"/>
        <v>0</v>
      </c>
      <c r="H153" s="67"/>
      <c r="I153" s="67"/>
      <c r="J153" s="67"/>
      <c r="K153" s="67"/>
      <c r="L153" s="67"/>
      <c r="M153" s="67"/>
      <c r="N153" s="67"/>
      <c r="O153" s="67"/>
      <c r="P153" s="67"/>
      <c r="Q153" s="67"/>
      <c r="R153" s="67"/>
      <c r="S153" s="67"/>
    </row>
    <row r="154" spans="1:19">
      <c r="A154" s="54" t="s">
        <v>253</v>
      </c>
      <c r="B154" s="67">
        <f>SUMIFS('Safeguard facility data'!BB$4:BB$312,'Safeguard facility data'!$Q$4:$Q$312,$A154,'Safeguard facility data'!BB$4:BB$312,"&gt;0")</f>
        <v>0</v>
      </c>
      <c r="C154" s="67">
        <f>SUMIFS('Safeguard facility data'!BC$4:BC$312,'Safeguard facility data'!$Q$4:$Q$312,$A154,'Safeguard facility data'!BC$4:BC$312,"&gt;0")</f>
        <v>0</v>
      </c>
      <c r="D154" s="67">
        <f>SUMIFS('Safeguard facility data'!BD$4:BD$312,'Safeguard facility data'!$Q$4:$Q$312,$A154,'Safeguard facility data'!BD$4:BD$312,"&gt;0")</f>
        <v>0</v>
      </c>
      <c r="E154" s="67">
        <f>SUMIFS('Safeguard facility data'!BE$4:BE$312,'Safeguard facility data'!$Q$4:$Q$312,$A154,'Safeguard facility data'!BE$4:BE$312,"&gt;0")</f>
        <v>0</v>
      </c>
      <c r="F154" s="67">
        <f>SUMIFS('Safeguard facility data'!BF$4:BF$312,'Safeguard facility data'!$Q$4:$Q$312,$A154,'Safeguard facility data'!BF$4:BF$312,"&gt;0")</f>
        <v>0</v>
      </c>
      <c r="G154" s="67">
        <f t="shared" si="5"/>
        <v>0</v>
      </c>
      <c r="H154" s="67"/>
      <c r="I154" s="67"/>
      <c r="J154" s="67"/>
      <c r="K154" s="67"/>
      <c r="L154" s="67"/>
      <c r="M154" s="67"/>
      <c r="N154" s="67"/>
      <c r="O154" s="67"/>
      <c r="P154" s="67"/>
      <c r="Q154" s="67"/>
      <c r="R154" s="67"/>
      <c r="S154" s="67"/>
    </row>
    <row r="155" spans="1:19">
      <c r="A155" s="54" t="s">
        <v>254</v>
      </c>
      <c r="B155" s="67">
        <f>SUMIFS('Safeguard facility data'!BB$4:BB$312,'Safeguard facility data'!$Q$4:$Q$312,$A155,'Safeguard facility data'!BB$4:BB$312,"&gt;0")</f>
        <v>0</v>
      </c>
      <c r="C155" s="67">
        <f>SUMIFS('Safeguard facility data'!BC$4:BC$312,'Safeguard facility data'!$Q$4:$Q$312,$A155,'Safeguard facility data'!BC$4:BC$312,"&gt;0")</f>
        <v>0</v>
      </c>
      <c r="D155" s="67">
        <f>SUMIFS('Safeguard facility data'!BD$4:BD$312,'Safeguard facility data'!$Q$4:$Q$312,$A155,'Safeguard facility data'!BD$4:BD$312,"&gt;0")</f>
        <v>0</v>
      </c>
      <c r="E155" s="67">
        <f>SUMIFS('Safeguard facility data'!BE$4:BE$312,'Safeguard facility data'!$Q$4:$Q$312,$A155,'Safeguard facility data'!BE$4:BE$312,"&gt;0")</f>
        <v>0</v>
      </c>
      <c r="F155" s="67">
        <f>SUMIFS('Safeguard facility data'!BF$4:BF$312,'Safeguard facility data'!$Q$4:$Q$312,$A155,'Safeguard facility data'!BF$4:BF$312,"&gt;0")</f>
        <v>0</v>
      </c>
      <c r="G155" s="67">
        <f t="shared" si="5"/>
        <v>0</v>
      </c>
      <c r="H155" s="67"/>
      <c r="I155" s="67"/>
      <c r="J155" s="67"/>
      <c r="K155" s="67"/>
      <c r="L155" s="67"/>
      <c r="M155" s="67"/>
      <c r="N155" s="67"/>
      <c r="O155" s="67"/>
      <c r="P155" s="67"/>
      <c r="Q155" s="67"/>
      <c r="R155" s="67"/>
      <c r="S155" s="67"/>
    </row>
    <row r="156" spans="1:19">
      <c r="A156" s="54" t="s">
        <v>256</v>
      </c>
      <c r="B156" s="67">
        <f>SUMIFS('Safeguard facility data'!BB$4:BB$312,'Safeguard facility data'!$Q$4:$Q$312,$A156,'Safeguard facility data'!BB$4:BB$312,"&gt;0")</f>
        <v>0</v>
      </c>
      <c r="C156" s="67">
        <f>SUMIFS('Safeguard facility data'!BC$4:BC$312,'Safeguard facility data'!$Q$4:$Q$312,$A156,'Safeguard facility data'!BC$4:BC$312,"&gt;0")</f>
        <v>0</v>
      </c>
      <c r="D156" s="67">
        <f>SUMIFS('Safeguard facility data'!BD$4:BD$312,'Safeguard facility data'!$Q$4:$Q$312,$A156,'Safeguard facility data'!BD$4:BD$312,"&gt;0")</f>
        <v>0</v>
      </c>
      <c r="E156" s="67">
        <f>SUMIFS('Safeguard facility data'!BE$4:BE$312,'Safeguard facility data'!$Q$4:$Q$312,$A156,'Safeguard facility data'!BE$4:BE$312,"&gt;0")</f>
        <v>0</v>
      </c>
      <c r="F156" s="67">
        <f>SUMIFS('Safeguard facility data'!BF$4:BF$312,'Safeguard facility data'!$Q$4:$Q$312,$A156,'Safeguard facility data'!BF$4:BF$312,"&gt;0")</f>
        <v>0</v>
      </c>
      <c r="G156" s="67">
        <f t="shared" si="5"/>
        <v>0</v>
      </c>
      <c r="H156" s="67"/>
      <c r="I156" s="67"/>
      <c r="J156" s="67"/>
      <c r="K156" s="67"/>
      <c r="L156" s="67"/>
      <c r="M156" s="67"/>
      <c r="N156" s="67"/>
      <c r="O156" s="67"/>
      <c r="P156" s="67"/>
      <c r="Q156" s="67"/>
      <c r="R156" s="67"/>
      <c r="S156" s="67"/>
    </row>
    <row r="157" spans="1:19">
      <c r="A157" s="54" t="s">
        <v>208</v>
      </c>
      <c r="B157" s="67">
        <f>SUMIFS('Safeguard facility data'!BB$4:BB$312,'Safeguard facility data'!$Q$4:$Q$312,$A157,'Safeguard facility data'!BB$4:BB$312,"&gt;0")</f>
        <v>0</v>
      </c>
      <c r="C157" s="67">
        <f>SUMIFS('Safeguard facility data'!BC$4:BC$312,'Safeguard facility data'!$Q$4:$Q$312,$A157,'Safeguard facility data'!BC$4:BC$312,"&gt;0")</f>
        <v>0</v>
      </c>
      <c r="D157" s="67">
        <f>SUMIFS('Safeguard facility data'!BD$4:BD$312,'Safeguard facility data'!$Q$4:$Q$312,$A157,'Safeguard facility data'!BD$4:BD$312,"&gt;0")</f>
        <v>0</v>
      </c>
      <c r="E157" s="67">
        <f>SUMIFS('Safeguard facility data'!BE$4:BE$312,'Safeguard facility data'!$Q$4:$Q$312,$A157,'Safeguard facility data'!BE$4:BE$312,"&gt;0")</f>
        <v>0</v>
      </c>
      <c r="F157" s="67">
        <f>SUMIFS('Safeguard facility data'!BF$4:BF$312,'Safeguard facility data'!$Q$4:$Q$312,$A157,'Safeguard facility data'!BF$4:BF$312,"&gt;0")</f>
        <v>0</v>
      </c>
      <c r="G157" s="67">
        <f t="shared" si="5"/>
        <v>0</v>
      </c>
      <c r="H157" s="67"/>
      <c r="I157" s="67"/>
      <c r="J157" s="67"/>
      <c r="K157" s="67"/>
      <c r="L157" s="67"/>
      <c r="M157" s="67"/>
      <c r="N157" s="67"/>
      <c r="O157" s="67"/>
      <c r="P157" s="67"/>
      <c r="Q157" s="67"/>
      <c r="R157" s="67"/>
      <c r="S157" s="67"/>
    </row>
    <row r="158" spans="1:19">
      <c r="A158" s="54" t="s">
        <v>285</v>
      </c>
      <c r="B158" s="67">
        <f>SUMIFS('Safeguard facility data'!BB$4:BB$312,'Safeguard facility data'!$Q$4:$Q$312,$A158,'Safeguard facility data'!BB$4:BB$312,"&gt;0")</f>
        <v>0</v>
      </c>
      <c r="C158" s="67">
        <f>SUMIFS('Safeguard facility data'!BC$4:BC$312,'Safeguard facility data'!$Q$4:$Q$312,$A158,'Safeguard facility data'!BC$4:BC$312,"&gt;0")</f>
        <v>0</v>
      </c>
      <c r="D158" s="67">
        <f>SUMIFS('Safeguard facility data'!BD$4:BD$312,'Safeguard facility data'!$Q$4:$Q$312,$A158,'Safeguard facility data'!BD$4:BD$312,"&gt;0")</f>
        <v>0</v>
      </c>
      <c r="E158" s="67">
        <f>SUMIFS('Safeguard facility data'!BE$4:BE$312,'Safeguard facility data'!$Q$4:$Q$312,$A158,'Safeguard facility data'!BE$4:BE$312,"&gt;0")</f>
        <v>0</v>
      </c>
      <c r="F158" s="67">
        <f>SUMIFS('Safeguard facility data'!BF$4:BF$312,'Safeguard facility data'!$Q$4:$Q$312,$A158,'Safeguard facility data'!BF$4:BF$312,"&gt;0")</f>
        <v>0</v>
      </c>
      <c r="G158" s="67">
        <f t="shared" si="5"/>
        <v>0</v>
      </c>
      <c r="H158" s="67"/>
      <c r="I158" s="67"/>
      <c r="J158" s="67"/>
      <c r="K158" s="67"/>
      <c r="L158" s="67"/>
      <c r="M158" s="67"/>
      <c r="N158" s="67"/>
      <c r="O158" s="67"/>
      <c r="P158" s="67"/>
      <c r="Q158" s="67"/>
      <c r="R158" s="67"/>
      <c r="S158" s="67"/>
    </row>
    <row r="159" spans="1:19">
      <c r="A159" s="54" t="s">
        <v>209</v>
      </c>
      <c r="B159" s="67">
        <f>SUMIFS('Safeguard facility data'!BB$4:BB$312,'Safeguard facility data'!$Q$4:$Q$312,$A159,'Safeguard facility data'!BB$4:BB$312,"&gt;0")</f>
        <v>0</v>
      </c>
      <c r="C159" s="67">
        <f>SUMIFS('Safeguard facility data'!BC$4:BC$312,'Safeguard facility data'!$Q$4:$Q$312,$A159,'Safeguard facility data'!BC$4:BC$312,"&gt;0")</f>
        <v>0</v>
      </c>
      <c r="D159" s="67">
        <f>SUMIFS('Safeguard facility data'!BD$4:BD$312,'Safeguard facility data'!$Q$4:$Q$312,$A159,'Safeguard facility data'!BD$4:BD$312,"&gt;0")</f>
        <v>0</v>
      </c>
      <c r="E159" s="67">
        <f>SUMIFS('Safeguard facility data'!BE$4:BE$312,'Safeguard facility data'!$Q$4:$Q$312,$A159,'Safeguard facility data'!BE$4:BE$312,"&gt;0")</f>
        <v>0</v>
      </c>
      <c r="F159" s="67">
        <f>SUMIFS('Safeguard facility data'!BF$4:BF$312,'Safeguard facility data'!$Q$4:$Q$312,$A159,'Safeguard facility data'!BF$4:BF$312,"&gt;0")</f>
        <v>0</v>
      </c>
      <c r="G159" s="67">
        <f t="shared" si="5"/>
        <v>0</v>
      </c>
      <c r="H159" s="67"/>
      <c r="I159" s="67"/>
      <c r="J159" s="67"/>
      <c r="K159" s="67"/>
      <c r="L159" s="67"/>
      <c r="M159" s="67"/>
      <c r="N159" s="67"/>
      <c r="O159" s="67"/>
      <c r="P159" s="67"/>
      <c r="Q159" s="67"/>
      <c r="R159" s="67"/>
      <c r="S159" s="67"/>
    </row>
    <row r="160" spans="1:19">
      <c r="A160" s="54" t="s">
        <v>257</v>
      </c>
      <c r="B160" s="67">
        <f>SUMIFS('Safeguard facility data'!BB$4:BB$312,'Safeguard facility data'!$Q$4:$Q$312,$A160,'Safeguard facility data'!BB$4:BB$312,"&gt;0")</f>
        <v>0</v>
      </c>
      <c r="C160" s="67">
        <f>SUMIFS('Safeguard facility data'!BC$4:BC$312,'Safeguard facility data'!$Q$4:$Q$312,$A160,'Safeguard facility data'!BC$4:BC$312,"&gt;0")</f>
        <v>0</v>
      </c>
      <c r="D160" s="67">
        <f>SUMIFS('Safeguard facility data'!BD$4:BD$312,'Safeguard facility data'!$Q$4:$Q$312,$A160,'Safeguard facility data'!BD$4:BD$312,"&gt;0")</f>
        <v>0</v>
      </c>
      <c r="E160" s="67">
        <f>SUMIFS('Safeguard facility data'!BE$4:BE$312,'Safeguard facility data'!$Q$4:$Q$312,$A160,'Safeguard facility data'!BE$4:BE$312,"&gt;0")</f>
        <v>0</v>
      </c>
      <c r="F160" s="67">
        <f>SUMIFS('Safeguard facility data'!BF$4:BF$312,'Safeguard facility data'!$Q$4:$Q$312,$A160,'Safeguard facility data'!BF$4:BF$312,"&gt;0")</f>
        <v>0</v>
      </c>
      <c r="G160" s="67">
        <f t="shared" si="5"/>
        <v>0</v>
      </c>
      <c r="H160" s="67"/>
      <c r="I160" s="67"/>
      <c r="J160" s="67"/>
      <c r="K160" s="67"/>
      <c r="L160" s="67"/>
      <c r="M160" s="67"/>
      <c r="N160" s="67"/>
      <c r="O160" s="67"/>
      <c r="P160" s="67"/>
      <c r="Q160" s="67"/>
      <c r="R160" s="67"/>
      <c r="S160" s="67"/>
    </row>
    <row r="161" spans="1:19">
      <c r="A161" s="54" t="s">
        <v>210</v>
      </c>
      <c r="B161" s="67">
        <f>SUMIFS('Safeguard facility data'!BB$4:BB$312,'Safeguard facility data'!$Q$4:$Q$312,$A161,'Safeguard facility data'!BB$4:BB$312,"&gt;0")</f>
        <v>0</v>
      </c>
      <c r="C161" s="67">
        <f>SUMIFS('Safeguard facility data'!BC$4:BC$312,'Safeguard facility data'!$Q$4:$Q$312,$A161,'Safeguard facility data'!BC$4:BC$312,"&gt;0")</f>
        <v>0</v>
      </c>
      <c r="D161" s="67">
        <f>SUMIFS('Safeguard facility data'!BD$4:BD$312,'Safeguard facility data'!$Q$4:$Q$312,$A161,'Safeguard facility data'!BD$4:BD$312,"&gt;0")</f>
        <v>0</v>
      </c>
      <c r="E161" s="67">
        <f>SUMIFS('Safeguard facility data'!BE$4:BE$312,'Safeguard facility data'!$Q$4:$Q$312,$A161,'Safeguard facility data'!BE$4:BE$312,"&gt;0")</f>
        <v>0</v>
      </c>
      <c r="F161" s="67">
        <f>SUMIFS('Safeguard facility data'!BF$4:BF$312,'Safeguard facility data'!$Q$4:$Q$312,$A161,'Safeguard facility data'!BF$4:BF$312,"&gt;0")</f>
        <v>0</v>
      </c>
      <c r="G161" s="67">
        <f t="shared" si="5"/>
        <v>0</v>
      </c>
      <c r="H161" s="67"/>
      <c r="I161" s="67"/>
      <c r="J161" s="67"/>
      <c r="K161" s="67"/>
      <c r="L161" s="67"/>
      <c r="M161" s="67"/>
      <c r="N161" s="67"/>
      <c r="O161" s="67"/>
      <c r="P161" s="67"/>
      <c r="Q161" s="67"/>
      <c r="R161" s="67"/>
      <c r="S161" s="67"/>
    </row>
    <row r="162" spans="1:19">
      <c r="A162" s="54" t="s">
        <v>211</v>
      </c>
      <c r="B162" s="67">
        <f>SUMIFS('Safeguard facility data'!BB$4:BB$312,'Safeguard facility data'!$Q$4:$Q$312,$A162,'Safeguard facility data'!BB$4:BB$312,"&gt;0")</f>
        <v>0</v>
      </c>
      <c r="C162" s="67">
        <f>SUMIFS('Safeguard facility data'!BC$4:BC$312,'Safeguard facility data'!$Q$4:$Q$312,$A162,'Safeguard facility data'!BC$4:BC$312,"&gt;0")</f>
        <v>0</v>
      </c>
      <c r="D162" s="67">
        <f>SUMIFS('Safeguard facility data'!BD$4:BD$312,'Safeguard facility data'!$Q$4:$Q$312,$A162,'Safeguard facility data'!BD$4:BD$312,"&gt;0")</f>
        <v>0</v>
      </c>
      <c r="E162" s="67">
        <f>SUMIFS('Safeguard facility data'!BE$4:BE$312,'Safeguard facility data'!$Q$4:$Q$312,$A162,'Safeguard facility data'!BE$4:BE$312,"&gt;0")</f>
        <v>0</v>
      </c>
      <c r="F162" s="67">
        <f>SUMIFS('Safeguard facility data'!BF$4:BF$312,'Safeguard facility data'!$Q$4:$Q$312,$A162,'Safeguard facility data'!BF$4:BF$312,"&gt;0")</f>
        <v>0</v>
      </c>
      <c r="G162" s="67">
        <f t="shared" ref="G162:G193" si="6">SUM(B162:F162)</f>
        <v>0</v>
      </c>
      <c r="H162" s="67"/>
      <c r="I162" s="67"/>
      <c r="J162" s="67"/>
      <c r="K162" s="67"/>
      <c r="L162" s="67"/>
      <c r="M162" s="67"/>
      <c r="N162" s="67"/>
      <c r="O162" s="67"/>
      <c r="P162" s="67"/>
      <c r="Q162" s="67"/>
      <c r="R162" s="67"/>
      <c r="S162" s="67"/>
    </row>
    <row r="163" spans="1:19">
      <c r="A163" s="54" t="s">
        <v>258</v>
      </c>
      <c r="B163" s="67">
        <f>SUMIFS('Safeguard facility data'!BB$4:BB$312,'Safeguard facility data'!$Q$4:$Q$312,$A163,'Safeguard facility data'!BB$4:BB$312,"&gt;0")</f>
        <v>0</v>
      </c>
      <c r="C163" s="67">
        <f>SUMIFS('Safeguard facility data'!BC$4:BC$312,'Safeguard facility data'!$Q$4:$Q$312,$A163,'Safeguard facility data'!BC$4:BC$312,"&gt;0")</f>
        <v>0</v>
      </c>
      <c r="D163" s="67">
        <f>SUMIFS('Safeguard facility data'!BD$4:BD$312,'Safeguard facility data'!$Q$4:$Q$312,$A163,'Safeguard facility data'!BD$4:BD$312,"&gt;0")</f>
        <v>0</v>
      </c>
      <c r="E163" s="67">
        <f>SUMIFS('Safeguard facility data'!BE$4:BE$312,'Safeguard facility data'!$Q$4:$Q$312,$A163,'Safeguard facility data'!BE$4:BE$312,"&gt;0")</f>
        <v>0</v>
      </c>
      <c r="F163" s="67">
        <f>SUMIFS('Safeguard facility data'!BF$4:BF$312,'Safeguard facility data'!$Q$4:$Q$312,$A163,'Safeguard facility data'!BF$4:BF$312,"&gt;0")</f>
        <v>0</v>
      </c>
      <c r="G163" s="67">
        <f t="shared" si="6"/>
        <v>0</v>
      </c>
      <c r="H163" s="67"/>
      <c r="I163" s="67"/>
      <c r="J163" s="67"/>
      <c r="K163" s="67"/>
      <c r="L163" s="67"/>
      <c r="M163" s="67"/>
      <c r="N163" s="67"/>
      <c r="O163" s="67"/>
      <c r="P163" s="67"/>
      <c r="Q163" s="67"/>
      <c r="R163" s="67"/>
      <c r="S163" s="67"/>
    </row>
    <row r="164" spans="1:19">
      <c r="A164" s="54" t="s">
        <v>133</v>
      </c>
      <c r="B164" s="67">
        <f>SUMIFS('Safeguard facility data'!BB$4:BB$312,'Safeguard facility data'!$Q$4:$Q$312,$A164,'Safeguard facility data'!BB$4:BB$312,"&gt;0")</f>
        <v>0</v>
      </c>
      <c r="C164" s="67">
        <f>SUMIFS('Safeguard facility data'!BC$4:BC$312,'Safeguard facility data'!$Q$4:$Q$312,$A164,'Safeguard facility data'!BC$4:BC$312,"&gt;0")</f>
        <v>0</v>
      </c>
      <c r="D164" s="67">
        <f>SUMIFS('Safeguard facility data'!BD$4:BD$312,'Safeguard facility data'!$Q$4:$Q$312,$A164,'Safeguard facility data'!BD$4:BD$312,"&gt;0")</f>
        <v>0</v>
      </c>
      <c r="E164" s="67">
        <f>SUMIFS('Safeguard facility data'!BE$4:BE$312,'Safeguard facility data'!$Q$4:$Q$312,$A164,'Safeguard facility data'!BE$4:BE$312,"&gt;0")</f>
        <v>0</v>
      </c>
      <c r="F164" s="67">
        <f>SUMIFS('Safeguard facility data'!BF$4:BF$312,'Safeguard facility data'!$Q$4:$Q$312,$A164,'Safeguard facility data'!BF$4:BF$312,"&gt;0")</f>
        <v>0</v>
      </c>
      <c r="G164" s="67">
        <f t="shared" si="6"/>
        <v>0</v>
      </c>
      <c r="H164" s="67"/>
      <c r="I164" s="67"/>
      <c r="J164" s="67"/>
      <c r="K164" s="67"/>
      <c r="L164" s="67"/>
      <c r="M164" s="67"/>
      <c r="N164" s="67"/>
      <c r="O164" s="67"/>
      <c r="P164" s="67"/>
      <c r="Q164" s="67"/>
      <c r="R164" s="67"/>
      <c r="S164" s="67"/>
    </row>
    <row r="165" spans="1:19">
      <c r="A165" s="54" t="s">
        <v>212</v>
      </c>
      <c r="B165" s="67">
        <f>SUMIFS('Safeguard facility data'!BB$4:BB$312,'Safeguard facility data'!$Q$4:$Q$312,$A165,'Safeguard facility data'!BB$4:BB$312,"&gt;0")</f>
        <v>0</v>
      </c>
      <c r="C165" s="67">
        <f>SUMIFS('Safeguard facility data'!BC$4:BC$312,'Safeguard facility data'!$Q$4:$Q$312,$A165,'Safeguard facility data'!BC$4:BC$312,"&gt;0")</f>
        <v>0</v>
      </c>
      <c r="D165" s="67">
        <f>SUMIFS('Safeguard facility data'!BD$4:BD$312,'Safeguard facility data'!$Q$4:$Q$312,$A165,'Safeguard facility data'!BD$4:BD$312,"&gt;0")</f>
        <v>0</v>
      </c>
      <c r="E165" s="67">
        <f>SUMIFS('Safeguard facility data'!BE$4:BE$312,'Safeguard facility data'!$Q$4:$Q$312,$A165,'Safeguard facility data'!BE$4:BE$312,"&gt;0")</f>
        <v>0</v>
      </c>
      <c r="F165" s="67">
        <f>SUMIFS('Safeguard facility data'!BF$4:BF$312,'Safeguard facility data'!$Q$4:$Q$312,$A165,'Safeguard facility data'!BF$4:BF$312,"&gt;0")</f>
        <v>0</v>
      </c>
      <c r="G165" s="67">
        <f t="shared" si="6"/>
        <v>0</v>
      </c>
      <c r="H165" s="67"/>
      <c r="I165" s="67"/>
      <c r="J165" s="67"/>
      <c r="K165" s="67"/>
      <c r="L165" s="67"/>
      <c r="M165" s="67"/>
      <c r="N165" s="67"/>
      <c r="O165" s="67"/>
      <c r="P165" s="67"/>
      <c r="Q165" s="67"/>
      <c r="R165" s="67"/>
      <c r="S165" s="67"/>
    </row>
    <row r="166" spans="1:19">
      <c r="A166" s="54" t="s">
        <v>214</v>
      </c>
      <c r="B166" s="67">
        <f>SUMIFS('Safeguard facility data'!BB$4:BB$312,'Safeguard facility data'!$Q$4:$Q$312,$A166,'Safeguard facility data'!BB$4:BB$312,"&gt;0")</f>
        <v>0</v>
      </c>
      <c r="C166" s="67">
        <f>SUMIFS('Safeguard facility data'!BC$4:BC$312,'Safeguard facility data'!$Q$4:$Q$312,$A166,'Safeguard facility data'!BC$4:BC$312,"&gt;0")</f>
        <v>0</v>
      </c>
      <c r="D166" s="67">
        <f>SUMIFS('Safeguard facility data'!BD$4:BD$312,'Safeguard facility data'!$Q$4:$Q$312,$A166,'Safeguard facility data'!BD$4:BD$312,"&gt;0")</f>
        <v>0</v>
      </c>
      <c r="E166" s="67">
        <f>SUMIFS('Safeguard facility data'!BE$4:BE$312,'Safeguard facility data'!$Q$4:$Q$312,$A166,'Safeguard facility data'!BE$4:BE$312,"&gt;0")</f>
        <v>0</v>
      </c>
      <c r="F166" s="67">
        <f>SUMIFS('Safeguard facility data'!BF$4:BF$312,'Safeguard facility data'!$Q$4:$Q$312,$A166,'Safeguard facility data'!BF$4:BF$312,"&gt;0")</f>
        <v>0</v>
      </c>
      <c r="G166" s="67">
        <f t="shared" si="6"/>
        <v>0</v>
      </c>
      <c r="H166" s="67"/>
      <c r="I166" s="67"/>
      <c r="J166" s="67"/>
      <c r="K166" s="67"/>
      <c r="L166" s="67"/>
      <c r="M166" s="67"/>
      <c r="N166" s="67"/>
      <c r="O166" s="67"/>
      <c r="P166" s="67"/>
      <c r="Q166" s="67"/>
      <c r="R166" s="67"/>
      <c r="S166" s="67"/>
    </row>
    <row r="167" spans="1:19">
      <c r="A167" s="54" t="s">
        <v>215</v>
      </c>
      <c r="B167" s="67">
        <f>SUMIFS('Safeguard facility data'!BB$4:BB$312,'Safeguard facility data'!$Q$4:$Q$312,$A167,'Safeguard facility data'!BB$4:BB$312,"&gt;0")</f>
        <v>0</v>
      </c>
      <c r="C167" s="67">
        <f>SUMIFS('Safeguard facility data'!BC$4:BC$312,'Safeguard facility data'!$Q$4:$Q$312,$A167,'Safeguard facility data'!BC$4:BC$312,"&gt;0")</f>
        <v>0</v>
      </c>
      <c r="D167" s="67">
        <f>SUMIFS('Safeguard facility data'!BD$4:BD$312,'Safeguard facility data'!$Q$4:$Q$312,$A167,'Safeguard facility data'!BD$4:BD$312,"&gt;0")</f>
        <v>0</v>
      </c>
      <c r="E167" s="67">
        <f>SUMIFS('Safeguard facility data'!BE$4:BE$312,'Safeguard facility data'!$Q$4:$Q$312,$A167,'Safeguard facility data'!BE$4:BE$312,"&gt;0")</f>
        <v>0</v>
      </c>
      <c r="F167" s="67">
        <f>SUMIFS('Safeguard facility data'!BF$4:BF$312,'Safeguard facility data'!$Q$4:$Q$312,$A167,'Safeguard facility data'!BF$4:BF$312,"&gt;0")</f>
        <v>0</v>
      </c>
      <c r="G167" s="67">
        <f t="shared" si="6"/>
        <v>0</v>
      </c>
      <c r="H167" s="67"/>
      <c r="I167" s="67"/>
      <c r="J167" s="67"/>
      <c r="K167" s="67"/>
      <c r="L167" s="67"/>
      <c r="M167" s="67"/>
      <c r="N167" s="67"/>
      <c r="O167" s="67"/>
      <c r="P167" s="67"/>
      <c r="Q167" s="67"/>
      <c r="R167" s="67"/>
      <c r="S167" s="67"/>
    </row>
    <row r="168" spans="1:19">
      <c r="A168" s="54" t="s">
        <v>216</v>
      </c>
      <c r="B168" s="67">
        <f>SUMIFS('Safeguard facility data'!BB$4:BB$312,'Safeguard facility data'!$Q$4:$Q$312,$A168,'Safeguard facility data'!BB$4:BB$312,"&gt;0")</f>
        <v>0</v>
      </c>
      <c r="C168" s="67">
        <f>SUMIFS('Safeguard facility data'!BC$4:BC$312,'Safeguard facility data'!$Q$4:$Q$312,$A168,'Safeguard facility data'!BC$4:BC$312,"&gt;0")</f>
        <v>0</v>
      </c>
      <c r="D168" s="67">
        <f>SUMIFS('Safeguard facility data'!BD$4:BD$312,'Safeguard facility data'!$Q$4:$Q$312,$A168,'Safeguard facility data'!BD$4:BD$312,"&gt;0")</f>
        <v>0</v>
      </c>
      <c r="E168" s="67">
        <f>SUMIFS('Safeguard facility data'!BE$4:BE$312,'Safeguard facility data'!$Q$4:$Q$312,$A168,'Safeguard facility data'!BE$4:BE$312,"&gt;0")</f>
        <v>0</v>
      </c>
      <c r="F168" s="67">
        <f>SUMIFS('Safeguard facility data'!BF$4:BF$312,'Safeguard facility data'!$Q$4:$Q$312,$A168,'Safeguard facility data'!BF$4:BF$312,"&gt;0")</f>
        <v>0</v>
      </c>
      <c r="G168" s="67">
        <f t="shared" si="6"/>
        <v>0</v>
      </c>
      <c r="H168" s="67"/>
      <c r="I168" s="67"/>
      <c r="J168" s="67"/>
      <c r="K168" s="67"/>
      <c r="L168" s="67"/>
      <c r="M168" s="67"/>
      <c r="N168" s="67"/>
      <c r="O168" s="67"/>
      <c r="P168" s="67"/>
      <c r="Q168" s="67"/>
      <c r="R168" s="67"/>
      <c r="S168" s="67"/>
    </row>
    <row r="169" spans="1:19">
      <c r="A169" s="54" t="s">
        <v>259</v>
      </c>
      <c r="B169" s="67">
        <f>SUMIFS('Safeguard facility data'!BB$4:BB$312,'Safeguard facility data'!$Q$4:$Q$312,$A169,'Safeguard facility data'!BB$4:BB$312,"&gt;0")</f>
        <v>0</v>
      </c>
      <c r="C169" s="67">
        <f>SUMIFS('Safeguard facility data'!BC$4:BC$312,'Safeguard facility data'!$Q$4:$Q$312,$A169,'Safeguard facility data'!BC$4:BC$312,"&gt;0")</f>
        <v>0</v>
      </c>
      <c r="D169" s="67">
        <f>SUMIFS('Safeguard facility data'!BD$4:BD$312,'Safeguard facility data'!$Q$4:$Q$312,$A169,'Safeguard facility data'!BD$4:BD$312,"&gt;0")</f>
        <v>0</v>
      </c>
      <c r="E169" s="67">
        <f>SUMIFS('Safeguard facility data'!BE$4:BE$312,'Safeguard facility data'!$Q$4:$Q$312,$A169,'Safeguard facility data'!BE$4:BE$312,"&gt;0")</f>
        <v>0</v>
      </c>
      <c r="F169" s="67">
        <f>SUMIFS('Safeguard facility data'!BF$4:BF$312,'Safeguard facility data'!$Q$4:$Q$312,$A169,'Safeguard facility data'!BF$4:BF$312,"&gt;0")</f>
        <v>0</v>
      </c>
      <c r="G169" s="67">
        <f t="shared" si="6"/>
        <v>0</v>
      </c>
      <c r="H169" s="67"/>
      <c r="I169" s="67"/>
      <c r="J169" s="67"/>
      <c r="K169" s="67"/>
      <c r="L169" s="67"/>
      <c r="M169" s="67"/>
      <c r="N169" s="67"/>
      <c r="O169" s="67"/>
      <c r="P169" s="67"/>
      <c r="Q169" s="67"/>
      <c r="R169" s="67"/>
      <c r="S169" s="67"/>
    </row>
    <row r="170" spans="1:19">
      <c r="A170" s="54" t="s">
        <v>260</v>
      </c>
      <c r="B170" s="67">
        <f>SUMIFS('Safeguard facility data'!BB$4:BB$312,'Safeguard facility data'!$Q$4:$Q$312,$A170,'Safeguard facility data'!BB$4:BB$312,"&gt;0")</f>
        <v>0</v>
      </c>
      <c r="C170" s="67">
        <f>SUMIFS('Safeguard facility data'!BC$4:BC$312,'Safeguard facility data'!$Q$4:$Q$312,$A170,'Safeguard facility data'!BC$4:BC$312,"&gt;0")</f>
        <v>0</v>
      </c>
      <c r="D170" s="67">
        <f>SUMIFS('Safeguard facility data'!BD$4:BD$312,'Safeguard facility data'!$Q$4:$Q$312,$A170,'Safeguard facility data'!BD$4:BD$312,"&gt;0")</f>
        <v>0</v>
      </c>
      <c r="E170" s="67">
        <f>SUMIFS('Safeguard facility data'!BE$4:BE$312,'Safeguard facility data'!$Q$4:$Q$312,$A170,'Safeguard facility data'!BE$4:BE$312,"&gt;0")</f>
        <v>0</v>
      </c>
      <c r="F170" s="67">
        <f>SUMIFS('Safeguard facility data'!BF$4:BF$312,'Safeguard facility data'!$Q$4:$Q$312,$A170,'Safeguard facility data'!BF$4:BF$312,"&gt;0")</f>
        <v>0</v>
      </c>
      <c r="G170" s="67">
        <f t="shared" si="6"/>
        <v>0</v>
      </c>
      <c r="H170" s="67"/>
      <c r="I170" s="67"/>
      <c r="J170" s="67"/>
      <c r="K170" s="67"/>
      <c r="L170" s="67"/>
      <c r="M170" s="67"/>
      <c r="N170" s="67"/>
      <c r="O170" s="67"/>
      <c r="P170" s="67"/>
      <c r="Q170" s="67"/>
      <c r="R170" s="67"/>
      <c r="S170" s="67"/>
    </row>
    <row r="171" spans="1:19">
      <c r="A171" s="54" t="s">
        <v>217</v>
      </c>
      <c r="B171" s="67">
        <f>SUMIFS('Safeguard facility data'!BB$4:BB$312,'Safeguard facility data'!$Q$4:$Q$312,$A171,'Safeguard facility data'!BB$4:BB$312,"&gt;0")</f>
        <v>0</v>
      </c>
      <c r="C171" s="67">
        <f>SUMIFS('Safeguard facility data'!BC$4:BC$312,'Safeguard facility data'!$Q$4:$Q$312,$A171,'Safeguard facility data'!BC$4:BC$312,"&gt;0")</f>
        <v>0</v>
      </c>
      <c r="D171" s="67">
        <f>SUMIFS('Safeguard facility data'!BD$4:BD$312,'Safeguard facility data'!$Q$4:$Q$312,$A171,'Safeguard facility data'!BD$4:BD$312,"&gt;0")</f>
        <v>0</v>
      </c>
      <c r="E171" s="67">
        <f>SUMIFS('Safeguard facility data'!BE$4:BE$312,'Safeguard facility data'!$Q$4:$Q$312,$A171,'Safeguard facility data'!BE$4:BE$312,"&gt;0")</f>
        <v>0</v>
      </c>
      <c r="F171" s="67">
        <f>SUMIFS('Safeguard facility data'!BF$4:BF$312,'Safeguard facility data'!$Q$4:$Q$312,$A171,'Safeguard facility data'!BF$4:BF$312,"&gt;0")</f>
        <v>0</v>
      </c>
      <c r="G171" s="67">
        <f t="shared" si="6"/>
        <v>0</v>
      </c>
      <c r="H171" s="67"/>
      <c r="I171" s="67"/>
      <c r="J171" s="67"/>
      <c r="K171" s="67"/>
      <c r="L171" s="67"/>
      <c r="M171" s="67"/>
      <c r="N171" s="67"/>
      <c r="O171" s="67"/>
      <c r="P171" s="67"/>
      <c r="Q171" s="67"/>
      <c r="R171" s="67"/>
      <c r="S171" s="67"/>
    </row>
    <row r="172" spans="1:19">
      <c r="A172" s="54" t="s">
        <v>218</v>
      </c>
      <c r="B172" s="67">
        <f>SUMIFS('Safeguard facility data'!BB$4:BB$312,'Safeguard facility data'!$Q$4:$Q$312,$A172,'Safeguard facility data'!BB$4:BB$312,"&gt;0")</f>
        <v>0</v>
      </c>
      <c r="C172" s="67">
        <f>SUMIFS('Safeguard facility data'!BC$4:BC$312,'Safeguard facility data'!$Q$4:$Q$312,$A172,'Safeguard facility data'!BC$4:BC$312,"&gt;0")</f>
        <v>0</v>
      </c>
      <c r="D172" s="67">
        <f>SUMIFS('Safeguard facility data'!BD$4:BD$312,'Safeguard facility data'!$Q$4:$Q$312,$A172,'Safeguard facility data'!BD$4:BD$312,"&gt;0")</f>
        <v>0</v>
      </c>
      <c r="E172" s="67">
        <f>SUMIFS('Safeguard facility data'!BE$4:BE$312,'Safeguard facility data'!$Q$4:$Q$312,$A172,'Safeguard facility data'!BE$4:BE$312,"&gt;0")</f>
        <v>0</v>
      </c>
      <c r="F172" s="67">
        <f>SUMIFS('Safeguard facility data'!BF$4:BF$312,'Safeguard facility data'!$Q$4:$Q$312,$A172,'Safeguard facility data'!BF$4:BF$312,"&gt;0")</f>
        <v>0</v>
      </c>
      <c r="G172" s="67">
        <f t="shared" si="6"/>
        <v>0</v>
      </c>
      <c r="H172" s="67"/>
      <c r="I172" s="67"/>
      <c r="J172" s="67"/>
      <c r="K172" s="67"/>
      <c r="L172" s="67"/>
      <c r="M172" s="67"/>
      <c r="N172" s="67"/>
      <c r="O172" s="67"/>
      <c r="P172" s="67"/>
      <c r="Q172" s="67"/>
      <c r="R172" s="67"/>
      <c r="S172" s="67"/>
    </row>
    <row r="173" spans="1:19">
      <c r="A173" s="54" t="s">
        <v>219</v>
      </c>
      <c r="B173" s="67">
        <f>SUMIFS('Safeguard facility data'!BB$4:BB$312,'Safeguard facility data'!$Q$4:$Q$312,$A173,'Safeguard facility data'!BB$4:BB$312,"&gt;0")</f>
        <v>0</v>
      </c>
      <c r="C173" s="67">
        <f>SUMIFS('Safeguard facility data'!BC$4:BC$312,'Safeguard facility data'!$Q$4:$Q$312,$A173,'Safeguard facility data'!BC$4:BC$312,"&gt;0")</f>
        <v>0</v>
      </c>
      <c r="D173" s="67">
        <f>SUMIFS('Safeguard facility data'!BD$4:BD$312,'Safeguard facility data'!$Q$4:$Q$312,$A173,'Safeguard facility data'!BD$4:BD$312,"&gt;0")</f>
        <v>0</v>
      </c>
      <c r="E173" s="67">
        <f>SUMIFS('Safeguard facility data'!BE$4:BE$312,'Safeguard facility data'!$Q$4:$Q$312,$A173,'Safeguard facility data'!BE$4:BE$312,"&gt;0")</f>
        <v>0</v>
      </c>
      <c r="F173" s="67">
        <f>SUMIFS('Safeguard facility data'!BF$4:BF$312,'Safeguard facility data'!$Q$4:$Q$312,$A173,'Safeguard facility data'!BF$4:BF$312,"&gt;0")</f>
        <v>0</v>
      </c>
      <c r="G173" s="67">
        <f t="shared" si="6"/>
        <v>0</v>
      </c>
      <c r="H173" s="67"/>
      <c r="I173" s="67"/>
      <c r="J173" s="67"/>
      <c r="K173" s="67"/>
      <c r="L173" s="67"/>
      <c r="M173" s="67"/>
      <c r="N173" s="67"/>
      <c r="O173" s="67"/>
      <c r="P173" s="67"/>
      <c r="Q173" s="67"/>
      <c r="R173" s="67"/>
      <c r="S173" s="67"/>
    </row>
    <row r="174" spans="1:19">
      <c r="A174" s="54" t="s">
        <v>286</v>
      </c>
      <c r="B174" s="67">
        <f>SUMIFS('Safeguard facility data'!BB$4:BB$312,'Safeguard facility data'!$Q$4:$Q$312,$A174,'Safeguard facility data'!BB$4:BB$312,"&gt;0")</f>
        <v>0</v>
      </c>
      <c r="C174" s="67">
        <f>SUMIFS('Safeguard facility data'!BC$4:BC$312,'Safeguard facility data'!$Q$4:$Q$312,$A174,'Safeguard facility data'!BC$4:BC$312,"&gt;0")</f>
        <v>0</v>
      </c>
      <c r="D174" s="67">
        <f>SUMIFS('Safeguard facility data'!BD$4:BD$312,'Safeguard facility data'!$Q$4:$Q$312,$A174,'Safeguard facility data'!BD$4:BD$312,"&gt;0")</f>
        <v>0</v>
      </c>
      <c r="E174" s="67">
        <f>SUMIFS('Safeguard facility data'!BE$4:BE$312,'Safeguard facility data'!$Q$4:$Q$312,$A174,'Safeguard facility data'!BE$4:BE$312,"&gt;0")</f>
        <v>0</v>
      </c>
      <c r="F174" s="67">
        <f>SUMIFS('Safeguard facility data'!BF$4:BF$312,'Safeguard facility data'!$Q$4:$Q$312,$A174,'Safeguard facility data'!BF$4:BF$312,"&gt;0")</f>
        <v>0</v>
      </c>
      <c r="G174" s="67">
        <f t="shared" si="6"/>
        <v>0</v>
      </c>
      <c r="H174" s="67"/>
      <c r="I174" s="67"/>
      <c r="J174" s="67"/>
      <c r="K174" s="67"/>
      <c r="L174" s="67"/>
      <c r="M174" s="67"/>
      <c r="N174" s="67"/>
      <c r="O174" s="67"/>
      <c r="P174" s="67"/>
      <c r="Q174" s="67"/>
      <c r="R174" s="67"/>
      <c r="S174" s="67"/>
    </row>
    <row r="175" spans="1:19">
      <c r="A175" s="54" t="s">
        <v>261</v>
      </c>
      <c r="B175" s="67">
        <f>SUMIFS('Safeguard facility data'!BB$4:BB$312,'Safeguard facility data'!$Q$4:$Q$312,$A175,'Safeguard facility data'!BB$4:BB$312,"&gt;0")</f>
        <v>0</v>
      </c>
      <c r="C175" s="67">
        <f>SUMIFS('Safeguard facility data'!BC$4:BC$312,'Safeguard facility data'!$Q$4:$Q$312,$A175,'Safeguard facility data'!BC$4:BC$312,"&gt;0")</f>
        <v>0</v>
      </c>
      <c r="D175" s="67">
        <f>SUMIFS('Safeguard facility data'!BD$4:BD$312,'Safeguard facility data'!$Q$4:$Q$312,$A175,'Safeguard facility data'!BD$4:BD$312,"&gt;0")</f>
        <v>0</v>
      </c>
      <c r="E175" s="67">
        <f>SUMIFS('Safeguard facility data'!BE$4:BE$312,'Safeguard facility data'!$Q$4:$Q$312,$A175,'Safeguard facility data'!BE$4:BE$312,"&gt;0")</f>
        <v>0</v>
      </c>
      <c r="F175" s="67">
        <f>SUMIFS('Safeguard facility data'!BF$4:BF$312,'Safeguard facility data'!$Q$4:$Q$312,$A175,'Safeguard facility data'!BF$4:BF$312,"&gt;0")</f>
        <v>0</v>
      </c>
      <c r="G175" s="67">
        <f t="shared" si="6"/>
        <v>0</v>
      </c>
      <c r="H175" s="67"/>
      <c r="I175" s="67"/>
      <c r="J175" s="67"/>
      <c r="K175" s="67"/>
      <c r="L175" s="67"/>
      <c r="M175" s="67"/>
      <c r="N175" s="67"/>
      <c r="O175" s="67"/>
      <c r="P175" s="67"/>
      <c r="Q175" s="67"/>
      <c r="R175" s="67"/>
      <c r="S175" s="67"/>
    </row>
    <row r="176" spans="1:19">
      <c r="A176" s="54" t="s">
        <v>220</v>
      </c>
      <c r="B176" s="67">
        <f>SUMIFS('Safeguard facility data'!BB$4:BB$312,'Safeguard facility data'!$Q$4:$Q$312,$A176,'Safeguard facility data'!BB$4:BB$312,"&gt;0")</f>
        <v>0</v>
      </c>
      <c r="C176" s="67">
        <f>SUMIFS('Safeguard facility data'!BC$4:BC$312,'Safeguard facility data'!$Q$4:$Q$312,$A176,'Safeguard facility data'!BC$4:BC$312,"&gt;0")</f>
        <v>0</v>
      </c>
      <c r="D176" s="67">
        <f>SUMIFS('Safeguard facility data'!BD$4:BD$312,'Safeguard facility data'!$Q$4:$Q$312,$A176,'Safeguard facility data'!BD$4:BD$312,"&gt;0")</f>
        <v>0</v>
      </c>
      <c r="E176" s="67">
        <f>SUMIFS('Safeguard facility data'!BE$4:BE$312,'Safeguard facility data'!$Q$4:$Q$312,$A176,'Safeguard facility data'!BE$4:BE$312,"&gt;0")</f>
        <v>0</v>
      </c>
      <c r="F176" s="67">
        <f>SUMIFS('Safeguard facility data'!BF$4:BF$312,'Safeguard facility data'!$Q$4:$Q$312,$A176,'Safeguard facility data'!BF$4:BF$312,"&gt;0")</f>
        <v>0</v>
      </c>
      <c r="G176" s="67">
        <f t="shared" si="6"/>
        <v>0</v>
      </c>
      <c r="H176" s="67"/>
      <c r="I176" s="67"/>
      <c r="J176" s="67"/>
      <c r="K176" s="67"/>
      <c r="L176" s="67"/>
      <c r="M176" s="67"/>
      <c r="N176" s="67"/>
      <c r="O176" s="67"/>
      <c r="P176" s="67"/>
      <c r="Q176" s="67"/>
      <c r="R176" s="67"/>
      <c r="S176" s="67"/>
    </row>
    <row r="177" spans="1:19">
      <c r="A177" s="54" t="s">
        <v>221</v>
      </c>
      <c r="B177" s="67">
        <f>SUMIFS('Safeguard facility data'!BB$4:BB$312,'Safeguard facility data'!$Q$4:$Q$312,$A177,'Safeguard facility data'!BB$4:BB$312,"&gt;0")</f>
        <v>0</v>
      </c>
      <c r="C177" s="67">
        <f>SUMIFS('Safeguard facility data'!BC$4:BC$312,'Safeguard facility data'!$Q$4:$Q$312,$A177,'Safeguard facility data'!BC$4:BC$312,"&gt;0")</f>
        <v>0</v>
      </c>
      <c r="D177" s="67">
        <f>SUMIFS('Safeguard facility data'!BD$4:BD$312,'Safeguard facility data'!$Q$4:$Q$312,$A177,'Safeguard facility data'!BD$4:BD$312,"&gt;0")</f>
        <v>0</v>
      </c>
      <c r="E177" s="67">
        <f>SUMIFS('Safeguard facility data'!BE$4:BE$312,'Safeguard facility data'!$Q$4:$Q$312,$A177,'Safeguard facility data'!BE$4:BE$312,"&gt;0")</f>
        <v>0</v>
      </c>
      <c r="F177" s="67">
        <f>SUMIFS('Safeguard facility data'!BF$4:BF$312,'Safeguard facility data'!$Q$4:$Q$312,$A177,'Safeguard facility data'!BF$4:BF$312,"&gt;0")</f>
        <v>0</v>
      </c>
      <c r="G177" s="67">
        <f t="shared" si="6"/>
        <v>0</v>
      </c>
      <c r="H177" s="67"/>
      <c r="I177" s="67"/>
      <c r="J177" s="67"/>
      <c r="K177" s="67"/>
      <c r="L177" s="67"/>
      <c r="M177" s="67"/>
      <c r="N177" s="67"/>
      <c r="O177" s="67"/>
      <c r="P177" s="67"/>
      <c r="Q177" s="67"/>
      <c r="R177" s="67"/>
      <c r="S177" s="67"/>
    </row>
    <row r="178" spans="1:19">
      <c r="A178" s="54" t="s">
        <v>262</v>
      </c>
      <c r="B178" s="67">
        <f>SUMIFS('Safeguard facility data'!BB$4:BB$312,'Safeguard facility data'!$Q$4:$Q$312,$A178,'Safeguard facility data'!BB$4:BB$312,"&gt;0")</f>
        <v>0</v>
      </c>
      <c r="C178" s="67">
        <f>SUMIFS('Safeguard facility data'!BC$4:BC$312,'Safeguard facility data'!$Q$4:$Q$312,$A178,'Safeguard facility data'!BC$4:BC$312,"&gt;0")</f>
        <v>0</v>
      </c>
      <c r="D178" s="67">
        <f>SUMIFS('Safeguard facility data'!BD$4:BD$312,'Safeguard facility data'!$Q$4:$Q$312,$A178,'Safeguard facility data'!BD$4:BD$312,"&gt;0")</f>
        <v>0</v>
      </c>
      <c r="E178" s="67">
        <f>SUMIFS('Safeguard facility data'!BE$4:BE$312,'Safeguard facility data'!$Q$4:$Q$312,$A178,'Safeguard facility data'!BE$4:BE$312,"&gt;0")</f>
        <v>0</v>
      </c>
      <c r="F178" s="67">
        <f>SUMIFS('Safeguard facility data'!BF$4:BF$312,'Safeguard facility data'!$Q$4:$Q$312,$A178,'Safeguard facility data'!BF$4:BF$312,"&gt;0")</f>
        <v>0</v>
      </c>
      <c r="G178" s="67">
        <f t="shared" si="6"/>
        <v>0</v>
      </c>
      <c r="H178" s="67"/>
      <c r="I178" s="67"/>
      <c r="J178" s="67"/>
      <c r="K178" s="67"/>
      <c r="L178" s="67"/>
      <c r="M178" s="67"/>
      <c r="N178" s="67"/>
      <c r="O178" s="67"/>
      <c r="P178" s="67"/>
      <c r="Q178" s="67"/>
      <c r="R178" s="67"/>
      <c r="S178" s="67"/>
    </row>
    <row r="179" spans="1:19">
      <c r="A179" s="54" t="s">
        <v>222</v>
      </c>
      <c r="B179" s="67">
        <f>SUMIFS('Safeguard facility data'!BB$4:BB$312,'Safeguard facility data'!$Q$4:$Q$312,$A179,'Safeguard facility data'!BB$4:BB$312,"&gt;0")</f>
        <v>0</v>
      </c>
      <c r="C179" s="67">
        <f>SUMIFS('Safeguard facility data'!BC$4:BC$312,'Safeguard facility data'!$Q$4:$Q$312,$A179,'Safeguard facility data'!BC$4:BC$312,"&gt;0")</f>
        <v>0</v>
      </c>
      <c r="D179" s="67">
        <f>SUMIFS('Safeguard facility data'!BD$4:BD$312,'Safeguard facility data'!$Q$4:$Q$312,$A179,'Safeguard facility data'!BD$4:BD$312,"&gt;0")</f>
        <v>0</v>
      </c>
      <c r="E179" s="67">
        <f>SUMIFS('Safeguard facility data'!BE$4:BE$312,'Safeguard facility data'!$Q$4:$Q$312,$A179,'Safeguard facility data'!BE$4:BE$312,"&gt;0")</f>
        <v>0</v>
      </c>
      <c r="F179" s="67">
        <f>SUMIFS('Safeguard facility data'!BF$4:BF$312,'Safeguard facility data'!$Q$4:$Q$312,$A179,'Safeguard facility data'!BF$4:BF$312,"&gt;0")</f>
        <v>0</v>
      </c>
      <c r="G179" s="67">
        <f t="shared" si="6"/>
        <v>0</v>
      </c>
      <c r="H179" s="67"/>
      <c r="I179" s="67"/>
      <c r="J179" s="67"/>
      <c r="K179" s="67"/>
      <c r="L179" s="67"/>
      <c r="M179" s="67"/>
      <c r="N179" s="67"/>
      <c r="O179" s="67"/>
      <c r="P179" s="67"/>
      <c r="Q179" s="67"/>
      <c r="R179" s="67"/>
      <c r="S179" s="67"/>
    </row>
    <row r="180" spans="1:19">
      <c r="A180" s="54" t="s">
        <v>223</v>
      </c>
      <c r="B180" s="67">
        <f>SUMIFS('Safeguard facility data'!BB$4:BB$312,'Safeguard facility data'!$Q$4:$Q$312,$A180,'Safeguard facility data'!BB$4:BB$312,"&gt;0")</f>
        <v>0</v>
      </c>
      <c r="C180" s="67">
        <f>SUMIFS('Safeguard facility data'!BC$4:BC$312,'Safeguard facility data'!$Q$4:$Q$312,$A180,'Safeguard facility data'!BC$4:BC$312,"&gt;0")</f>
        <v>0</v>
      </c>
      <c r="D180" s="67">
        <f>SUMIFS('Safeguard facility data'!BD$4:BD$312,'Safeguard facility data'!$Q$4:$Q$312,$A180,'Safeguard facility data'!BD$4:BD$312,"&gt;0")</f>
        <v>0</v>
      </c>
      <c r="E180" s="67">
        <f>SUMIFS('Safeguard facility data'!BE$4:BE$312,'Safeguard facility data'!$Q$4:$Q$312,$A180,'Safeguard facility data'!BE$4:BE$312,"&gt;0")</f>
        <v>0</v>
      </c>
      <c r="F180" s="67">
        <f>SUMIFS('Safeguard facility data'!BF$4:BF$312,'Safeguard facility data'!$Q$4:$Q$312,$A180,'Safeguard facility data'!BF$4:BF$312,"&gt;0")</f>
        <v>0</v>
      </c>
      <c r="G180" s="67">
        <f t="shared" si="6"/>
        <v>0</v>
      </c>
      <c r="H180" s="67"/>
      <c r="I180" s="67"/>
      <c r="J180" s="67"/>
      <c r="K180" s="67"/>
      <c r="L180" s="67"/>
      <c r="M180" s="67"/>
      <c r="N180" s="67"/>
      <c r="O180" s="67"/>
      <c r="P180" s="67"/>
      <c r="Q180" s="67"/>
      <c r="R180" s="67"/>
      <c r="S180" s="67"/>
    </row>
    <row r="181" spans="1:19">
      <c r="A181" s="54" t="s">
        <v>263</v>
      </c>
      <c r="B181" s="67">
        <f>SUMIFS('Safeguard facility data'!BB$4:BB$312,'Safeguard facility data'!$Q$4:$Q$312,$A181,'Safeguard facility data'!BB$4:BB$312,"&gt;0")</f>
        <v>0</v>
      </c>
      <c r="C181" s="67">
        <f>SUMIFS('Safeguard facility data'!BC$4:BC$312,'Safeguard facility data'!$Q$4:$Q$312,$A181,'Safeguard facility data'!BC$4:BC$312,"&gt;0")</f>
        <v>0</v>
      </c>
      <c r="D181" s="67">
        <f>SUMIFS('Safeguard facility data'!BD$4:BD$312,'Safeguard facility data'!$Q$4:$Q$312,$A181,'Safeguard facility data'!BD$4:BD$312,"&gt;0")</f>
        <v>0</v>
      </c>
      <c r="E181" s="67">
        <f>SUMIFS('Safeguard facility data'!BE$4:BE$312,'Safeguard facility data'!$Q$4:$Q$312,$A181,'Safeguard facility data'!BE$4:BE$312,"&gt;0")</f>
        <v>0</v>
      </c>
      <c r="F181" s="67">
        <f>SUMIFS('Safeguard facility data'!BF$4:BF$312,'Safeguard facility data'!$Q$4:$Q$312,$A181,'Safeguard facility data'!BF$4:BF$312,"&gt;0")</f>
        <v>0</v>
      </c>
      <c r="G181" s="67">
        <f t="shared" si="6"/>
        <v>0</v>
      </c>
      <c r="H181" s="67"/>
      <c r="I181" s="67"/>
      <c r="J181" s="67"/>
      <c r="K181" s="67"/>
      <c r="L181" s="67"/>
      <c r="M181" s="67"/>
      <c r="N181" s="67"/>
      <c r="O181" s="67"/>
      <c r="P181" s="67"/>
      <c r="Q181" s="67"/>
      <c r="R181" s="67"/>
      <c r="S181" s="67"/>
    </row>
  </sheetData>
  <sortState xmlns:xlrd2="http://schemas.microsoft.com/office/spreadsheetml/2017/richdata2" ref="A3:G181">
    <sortCondition descending="1" ref="G3:G181"/>
    <sortCondition ref="A3:A181"/>
  </sortState>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outlinePr summaryBelow="0" summaryRight="0"/>
  </sheetPr>
  <dimension ref="A1:Y55"/>
  <sheetViews>
    <sheetView workbookViewId="0">
      <selection activeCell="O25" sqref="O25"/>
    </sheetView>
  </sheetViews>
  <sheetFormatPr defaultColWidth="14.453125" defaultRowHeight="15" customHeight="1"/>
  <sheetData>
    <row r="1" spans="1:25">
      <c r="A1" s="8" t="s">
        <v>908</v>
      </c>
      <c r="B1" s="92"/>
      <c r="C1" s="8" t="s">
        <v>603</v>
      </c>
      <c r="D1" s="8" t="s">
        <v>604</v>
      </c>
      <c r="E1" s="8" t="s">
        <v>605</v>
      </c>
      <c r="F1" s="8" t="s">
        <v>606</v>
      </c>
      <c r="G1" s="8" t="s">
        <v>607</v>
      </c>
      <c r="H1" s="92"/>
      <c r="I1" s="92"/>
      <c r="J1" s="92"/>
      <c r="K1" s="92"/>
      <c r="L1" s="92"/>
      <c r="M1" s="92"/>
      <c r="N1" s="92"/>
      <c r="O1" s="92"/>
      <c r="P1" s="92"/>
      <c r="Q1" s="92"/>
      <c r="R1" s="92"/>
      <c r="S1" s="92"/>
      <c r="T1" s="92"/>
      <c r="U1" s="92"/>
      <c r="V1" s="92"/>
      <c r="W1" s="92"/>
      <c r="X1" s="92"/>
      <c r="Y1" s="92"/>
    </row>
    <row r="2" spans="1:25">
      <c r="A2" s="8" t="s">
        <v>289</v>
      </c>
      <c r="B2" s="8" t="s">
        <v>919</v>
      </c>
      <c r="C2" s="8"/>
      <c r="D2" s="8"/>
      <c r="E2" s="8"/>
      <c r="F2" s="8"/>
      <c r="G2" s="8"/>
      <c r="H2" s="92"/>
      <c r="I2" s="92"/>
      <c r="J2" s="92"/>
      <c r="K2" s="92"/>
      <c r="L2" s="92"/>
      <c r="M2" s="92"/>
      <c r="N2" s="92"/>
      <c r="O2" s="92"/>
      <c r="P2" s="92"/>
      <c r="Q2" s="92"/>
      <c r="R2" s="92"/>
      <c r="S2" s="92"/>
      <c r="T2" s="92"/>
      <c r="U2" s="92"/>
      <c r="V2" s="92"/>
      <c r="W2" s="92"/>
      <c r="X2" s="92"/>
      <c r="Y2" s="92"/>
    </row>
    <row r="3" spans="1:25">
      <c r="A3" s="1" t="s">
        <v>299</v>
      </c>
      <c r="B3" s="1" t="s">
        <v>121</v>
      </c>
      <c r="C3" s="1">
        <v>592482</v>
      </c>
      <c r="D3" s="1">
        <v>307156</v>
      </c>
      <c r="E3" s="1">
        <v>201552</v>
      </c>
      <c r="F3" s="1">
        <v>272811</v>
      </c>
      <c r="G3" s="1">
        <v>188815</v>
      </c>
    </row>
    <row r="4" spans="1:25">
      <c r="A4" s="1" t="s">
        <v>300</v>
      </c>
      <c r="B4" s="1" t="s">
        <v>125</v>
      </c>
      <c r="C4" s="1">
        <v>307622</v>
      </c>
      <c r="D4" s="1">
        <v>325339</v>
      </c>
      <c r="E4" s="1">
        <v>370602</v>
      </c>
      <c r="F4" s="1">
        <v>419809</v>
      </c>
      <c r="G4" s="1">
        <v>406944</v>
      </c>
    </row>
    <row r="5" spans="1:25">
      <c r="A5" s="1" t="s">
        <v>313</v>
      </c>
      <c r="B5" s="1" t="s">
        <v>29</v>
      </c>
      <c r="G5" s="1">
        <v>102549</v>
      </c>
    </row>
    <row r="6" spans="1:25">
      <c r="A6" s="1" t="s">
        <v>318</v>
      </c>
      <c r="B6" s="1" t="s">
        <v>29</v>
      </c>
      <c r="C6" s="1">
        <v>429011</v>
      </c>
      <c r="D6" s="1">
        <v>425713</v>
      </c>
      <c r="E6" s="1">
        <v>465015</v>
      </c>
      <c r="F6" s="1">
        <v>538857</v>
      </c>
      <c r="G6" s="1">
        <v>449399</v>
      </c>
    </row>
    <row r="7" spans="1:25">
      <c r="A7" s="1" t="s">
        <v>333</v>
      </c>
      <c r="B7" s="1" t="s">
        <v>29</v>
      </c>
      <c r="C7" s="1">
        <v>2113068</v>
      </c>
      <c r="D7" s="1">
        <v>2148974</v>
      </c>
      <c r="E7" s="1">
        <v>2795332</v>
      </c>
      <c r="F7" s="1">
        <v>3149800</v>
      </c>
      <c r="G7" s="1">
        <v>3245172</v>
      </c>
    </row>
    <row r="8" spans="1:25">
      <c r="A8" s="1" t="s">
        <v>338</v>
      </c>
      <c r="B8" s="1" t="s">
        <v>29</v>
      </c>
      <c r="C8" s="1">
        <v>444672</v>
      </c>
      <c r="D8" s="1">
        <v>530917</v>
      </c>
      <c r="E8" s="1">
        <v>503745</v>
      </c>
      <c r="F8" s="1">
        <v>563343</v>
      </c>
      <c r="G8" s="1">
        <v>590564</v>
      </c>
    </row>
    <row r="9" spans="1:25">
      <c r="A9" s="1" t="s">
        <v>357</v>
      </c>
      <c r="B9" s="1" t="s">
        <v>29</v>
      </c>
      <c r="C9" s="1" t="s">
        <v>389</v>
      </c>
      <c r="D9" s="1">
        <v>580716</v>
      </c>
      <c r="E9" s="1">
        <v>563894</v>
      </c>
      <c r="F9" s="1">
        <v>614968</v>
      </c>
      <c r="G9" s="1">
        <v>852964</v>
      </c>
    </row>
    <row r="10" spans="1:25">
      <c r="A10" s="1" t="s">
        <v>362</v>
      </c>
      <c r="B10" s="1" t="s">
        <v>121</v>
      </c>
      <c r="C10" s="1">
        <v>1719521</v>
      </c>
      <c r="D10" s="1">
        <v>1578692</v>
      </c>
      <c r="E10" s="1">
        <v>1657149</v>
      </c>
      <c r="F10" s="1">
        <v>1348163</v>
      </c>
      <c r="G10" s="1">
        <v>1590829</v>
      </c>
    </row>
    <row r="11" spans="1:25">
      <c r="A11" s="1" t="s">
        <v>364</v>
      </c>
      <c r="B11" s="1" t="s">
        <v>29</v>
      </c>
      <c r="C11" s="1">
        <v>422986</v>
      </c>
      <c r="D11" s="1">
        <v>358677</v>
      </c>
      <c r="E11" s="1">
        <v>445646</v>
      </c>
      <c r="F11" s="1">
        <v>570556</v>
      </c>
      <c r="G11" s="1">
        <v>435649</v>
      </c>
    </row>
    <row r="12" spans="1:25">
      <c r="A12" s="1" t="s">
        <v>367</v>
      </c>
      <c r="B12" s="1" t="s">
        <v>64</v>
      </c>
      <c r="E12" s="1">
        <v>106316</v>
      </c>
      <c r="F12" s="1">
        <v>107932</v>
      </c>
      <c r="G12" s="1">
        <v>100087</v>
      </c>
    </row>
    <row r="13" spans="1:25">
      <c r="A13" s="1" t="s">
        <v>374</v>
      </c>
      <c r="B13" s="1" t="s">
        <v>125</v>
      </c>
      <c r="C13" s="1">
        <v>101632</v>
      </c>
      <c r="D13" s="1">
        <v>90201</v>
      </c>
      <c r="E13" s="1">
        <v>94892</v>
      </c>
    </row>
    <row r="14" spans="1:25">
      <c r="A14" s="1" t="s">
        <v>378</v>
      </c>
      <c r="B14" s="1" t="s">
        <v>29</v>
      </c>
      <c r="F14" s="1">
        <v>402871</v>
      </c>
      <c r="G14" s="1">
        <v>551171</v>
      </c>
    </row>
    <row r="15" spans="1:25">
      <c r="A15" s="1" t="s">
        <v>382</v>
      </c>
      <c r="B15" s="1" t="s">
        <v>278</v>
      </c>
      <c r="E15" s="1">
        <v>102688</v>
      </c>
      <c r="F15" s="1">
        <v>103388</v>
      </c>
      <c r="G15" s="1">
        <v>104196</v>
      </c>
    </row>
    <row r="16" spans="1:25">
      <c r="A16" s="1" t="s">
        <v>388</v>
      </c>
      <c r="B16" s="1" t="s">
        <v>278</v>
      </c>
      <c r="C16" s="1">
        <v>193041</v>
      </c>
      <c r="D16" s="1">
        <v>191407</v>
      </c>
      <c r="E16" s="1">
        <v>191558</v>
      </c>
      <c r="F16" s="1">
        <v>237434</v>
      </c>
      <c r="G16" s="1">
        <v>285206</v>
      </c>
    </row>
    <row r="17" spans="1:7">
      <c r="A17" s="1" t="s">
        <v>397</v>
      </c>
      <c r="B17" s="1" t="s">
        <v>110</v>
      </c>
      <c r="F17" s="1">
        <v>113174</v>
      </c>
      <c r="G17" s="1">
        <v>121535</v>
      </c>
    </row>
    <row r="18" spans="1:7">
      <c r="A18" s="1" t="s">
        <v>400</v>
      </c>
      <c r="B18" s="1" t="s">
        <v>121</v>
      </c>
      <c r="C18" s="1">
        <v>7721771</v>
      </c>
      <c r="D18" s="1">
        <v>9022087</v>
      </c>
      <c r="E18" s="1">
        <v>8970457</v>
      </c>
      <c r="F18" s="1">
        <v>6263348</v>
      </c>
      <c r="G18" s="1">
        <v>5460144</v>
      </c>
    </row>
    <row r="19" spans="1:7">
      <c r="A19" s="1" t="s">
        <v>413</v>
      </c>
      <c r="B19" s="1" t="s">
        <v>29</v>
      </c>
      <c r="C19" s="1">
        <v>460897</v>
      </c>
      <c r="D19" s="1">
        <v>448693</v>
      </c>
      <c r="E19" s="1">
        <v>533444</v>
      </c>
      <c r="F19" s="1">
        <v>538610</v>
      </c>
      <c r="G19" s="1">
        <v>546521</v>
      </c>
    </row>
    <row r="20" spans="1:7">
      <c r="A20" s="1" t="s">
        <v>418</v>
      </c>
      <c r="B20" s="1" t="s">
        <v>125</v>
      </c>
      <c r="C20" s="1">
        <v>216882</v>
      </c>
      <c r="D20" s="1">
        <v>240050</v>
      </c>
      <c r="E20" s="1">
        <v>294288</v>
      </c>
      <c r="F20" s="1">
        <v>309973</v>
      </c>
      <c r="G20" s="1">
        <v>305260</v>
      </c>
    </row>
    <row r="21" spans="1:7">
      <c r="A21" s="1" t="s">
        <v>423</v>
      </c>
      <c r="B21" s="1" t="s">
        <v>158</v>
      </c>
      <c r="C21" s="1">
        <v>1281927</v>
      </c>
      <c r="D21" s="1">
        <v>1383186</v>
      </c>
      <c r="E21" s="1">
        <v>1330236</v>
      </c>
      <c r="F21" s="1">
        <v>1184384</v>
      </c>
      <c r="G21" s="1">
        <v>1029334</v>
      </c>
    </row>
    <row r="22" spans="1:7">
      <c r="A22" s="1" t="s">
        <v>431</v>
      </c>
      <c r="B22" s="1" t="s">
        <v>127</v>
      </c>
      <c r="D22" s="1">
        <v>110812</v>
      </c>
      <c r="E22" s="1">
        <v>113575</v>
      </c>
      <c r="G22" s="1">
        <v>113227</v>
      </c>
    </row>
    <row r="23" spans="1:7">
      <c r="A23" s="1" t="s">
        <v>433</v>
      </c>
      <c r="B23" s="1" t="s">
        <v>127</v>
      </c>
      <c r="F23" s="1">
        <v>109012</v>
      </c>
    </row>
    <row r="24" spans="1:7">
      <c r="A24" s="1" t="s">
        <v>435</v>
      </c>
      <c r="B24" s="1" t="s">
        <v>121</v>
      </c>
      <c r="D24" s="1">
        <v>102843</v>
      </c>
      <c r="E24" s="1">
        <v>96301</v>
      </c>
      <c r="F24" s="1">
        <v>92068</v>
      </c>
    </row>
    <row r="25" spans="1:7">
      <c r="A25" s="1" t="s">
        <v>443</v>
      </c>
      <c r="B25" s="1" t="s">
        <v>125</v>
      </c>
      <c r="G25" s="1">
        <v>114654</v>
      </c>
    </row>
    <row r="26" spans="1:7">
      <c r="A26" s="1" t="s">
        <v>448</v>
      </c>
      <c r="B26" s="1" t="s">
        <v>119</v>
      </c>
      <c r="C26" s="1">
        <v>725661</v>
      </c>
      <c r="D26" s="1">
        <v>735840</v>
      </c>
      <c r="E26" s="1">
        <v>736786</v>
      </c>
      <c r="F26" s="1">
        <v>600131</v>
      </c>
      <c r="G26" s="1">
        <v>678318</v>
      </c>
    </row>
    <row r="27" spans="1:7">
      <c r="A27" s="1" t="s">
        <v>454</v>
      </c>
      <c r="B27" s="1" t="s">
        <v>158</v>
      </c>
      <c r="C27" s="1">
        <v>473415</v>
      </c>
      <c r="D27" s="1">
        <v>603543</v>
      </c>
      <c r="E27" s="1">
        <v>901498</v>
      </c>
      <c r="F27" s="1">
        <v>606383</v>
      </c>
      <c r="G27" s="1">
        <v>528383</v>
      </c>
    </row>
    <row r="28" spans="1:7">
      <c r="A28" s="1" t="s">
        <v>455</v>
      </c>
      <c r="B28" s="1" t="s">
        <v>29</v>
      </c>
      <c r="C28" s="1">
        <v>1359006</v>
      </c>
      <c r="D28" s="1">
        <v>2326261</v>
      </c>
      <c r="E28" s="1">
        <v>1955239</v>
      </c>
      <c r="F28" s="1">
        <v>2318893</v>
      </c>
      <c r="G28" s="1">
        <v>2529216</v>
      </c>
    </row>
    <row r="29" spans="1:7">
      <c r="A29" s="1" t="s">
        <v>457</v>
      </c>
      <c r="B29" s="1" t="s">
        <v>29</v>
      </c>
      <c r="E29" s="1">
        <v>185921</v>
      </c>
      <c r="F29" s="1">
        <v>448683</v>
      </c>
      <c r="G29" s="1">
        <v>675893</v>
      </c>
    </row>
    <row r="30" spans="1:7">
      <c r="A30" s="1" t="s">
        <v>461</v>
      </c>
      <c r="B30" s="1" t="s">
        <v>110</v>
      </c>
      <c r="C30" s="1">
        <v>366239</v>
      </c>
      <c r="D30" s="1">
        <v>235799</v>
      </c>
      <c r="E30" s="1">
        <v>223704</v>
      </c>
      <c r="F30" s="1">
        <v>213397</v>
      </c>
      <c r="G30" s="1">
        <v>215224</v>
      </c>
    </row>
    <row r="31" spans="1:7">
      <c r="A31" s="1" t="s">
        <v>470</v>
      </c>
      <c r="B31" s="1" t="s">
        <v>125</v>
      </c>
      <c r="C31" s="1">
        <v>204194</v>
      </c>
      <c r="D31" s="1">
        <v>216854</v>
      </c>
      <c r="E31" s="1">
        <v>258438</v>
      </c>
      <c r="F31" s="1">
        <v>352174</v>
      </c>
      <c r="G31" s="1">
        <v>349146</v>
      </c>
    </row>
    <row r="32" spans="1:7">
      <c r="A32" s="1" t="s">
        <v>474</v>
      </c>
      <c r="B32" s="1" t="s">
        <v>110</v>
      </c>
      <c r="E32" s="1">
        <v>162441</v>
      </c>
      <c r="F32" s="1">
        <v>123189</v>
      </c>
      <c r="G32" s="1">
        <v>99288</v>
      </c>
    </row>
    <row r="33" spans="1:7">
      <c r="A33" s="1" t="s">
        <v>481</v>
      </c>
      <c r="B33" s="1" t="s">
        <v>121</v>
      </c>
      <c r="C33" s="1">
        <v>7657741</v>
      </c>
      <c r="D33" s="1">
        <v>7645451</v>
      </c>
      <c r="E33" s="1">
        <v>7387040</v>
      </c>
      <c r="F33" s="1">
        <v>6878006</v>
      </c>
      <c r="G33" s="1">
        <v>6784581</v>
      </c>
    </row>
    <row r="34" spans="1:7">
      <c r="A34" s="1" t="s">
        <v>489</v>
      </c>
      <c r="B34" s="1" t="s">
        <v>224</v>
      </c>
      <c r="C34" s="1">
        <v>174942</v>
      </c>
      <c r="D34" s="1">
        <v>178079</v>
      </c>
      <c r="E34" s="1">
        <v>203158</v>
      </c>
      <c r="F34" s="1">
        <v>229614</v>
      </c>
      <c r="G34" s="1">
        <v>234786</v>
      </c>
    </row>
    <row r="35" spans="1:7">
      <c r="A35" s="1" t="s">
        <v>503</v>
      </c>
      <c r="B35" s="1" t="s">
        <v>121</v>
      </c>
      <c r="C35" s="1">
        <v>1967704</v>
      </c>
      <c r="D35" s="1">
        <v>1931136</v>
      </c>
      <c r="E35" s="1">
        <v>1747412</v>
      </c>
      <c r="F35" s="1">
        <v>1862948</v>
      </c>
      <c r="G35" s="1">
        <v>1945741</v>
      </c>
    </row>
    <row r="36" spans="1:7">
      <c r="A36" s="1" t="s">
        <v>505</v>
      </c>
      <c r="B36" s="1" t="s">
        <v>29</v>
      </c>
      <c r="C36" s="1">
        <v>134439</v>
      </c>
      <c r="D36" s="1">
        <v>147484</v>
      </c>
      <c r="E36" s="1">
        <v>171885</v>
      </c>
      <c r="F36" s="1">
        <v>194712</v>
      </c>
      <c r="G36" s="1">
        <v>201368</v>
      </c>
    </row>
    <row r="37" spans="1:7">
      <c r="A37" s="1" t="s">
        <v>508</v>
      </c>
      <c r="B37" s="1" t="s">
        <v>125</v>
      </c>
      <c r="D37" s="1">
        <v>124222</v>
      </c>
      <c r="E37" s="1">
        <v>94043</v>
      </c>
      <c r="F37" s="1">
        <v>124412</v>
      </c>
      <c r="G37" s="1">
        <v>118637</v>
      </c>
    </row>
    <row r="38" spans="1:7">
      <c r="A38" s="1" t="s">
        <v>509</v>
      </c>
      <c r="B38" s="1" t="s">
        <v>39</v>
      </c>
      <c r="C38" s="1">
        <v>390071</v>
      </c>
      <c r="D38" s="1">
        <v>575680</v>
      </c>
      <c r="E38" s="1">
        <v>579013</v>
      </c>
      <c r="F38" s="1">
        <v>614289</v>
      </c>
      <c r="G38" s="1">
        <v>594849</v>
      </c>
    </row>
    <row r="39" spans="1:7">
      <c r="A39" s="1" t="s">
        <v>519</v>
      </c>
      <c r="B39" s="1" t="s">
        <v>272</v>
      </c>
      <c r="G39" s="1">
        <v>101464</v>
      </c>
    </row>
    <row r="40" spans="1:7">
      <c r="A40" s="1" t="s">
        <v>532</v>
      </c>
      <c r="B40" s="1" t="s">
        <v>50</v>
      </c>
      <c r="C40" s="1">
        <v>228733</v>
      </c>
      <c r="D40" s="1">
        <v>254961</v>
      </c>
      <c r="E40" s="1">
        <v>204705</v>
      </c>
      <c r="F40" s="1">
        <v>249855</v>
      </c>
      <c r="G40" s="1">
        <v>245840</v>
      </c>
    </row>
    <row r="41" spans="1:7">
      <c r="A41" s="1" t="s">
        <v>538</v>
      </c>
      <c r="B41" s="1" t="s">
        <v>125</v>
      </c>
      <c r="C41" s="1">
        <v>193723</v>
      </c>
      <c r="D41" s="1">
        <v>391919</v>
      </c>
      <c r="E41" s="1">
        <v>412588</v>
      </c>
      <c r="F41" s="1">
        <v>428087</v>
      </c>
      <c r="G41" s="1">
        <v>430818</v>
      </c>
    </row>
    <row r="42" spans="1:7">
      <c r="A42" s="1" t="s">
        <v>541</v>
      </c>
      <c r="B42" s="1" t="s">
        <v>29</v>
      </c>
      <c r="C42" s="1">
        <v>350537</v>
      </c>
      <c r="D42" s="1">
        <v>364887</v>
      </c>
      <c r="E42" s="1">
        <v>411694</v>
      </c>
      <c r="F42" s="1">
        <v>417183</v>
      </c>
      <c r="G42" s="1">
        <v>438393</v>
      </c>
    </row>
    <row r="43" spans="1:7">
      <c r="A43" s="1" t="s">
        <v>542</v>
      </c>
      <c r="B43" s="1" t="s">
        <v>125</v>
      </c>
      <c r="F43" s="1">
        <v>101314</v>
      </c>
      <c r="G43" s="1">
        <v>96414</v>
      </c>
    </row>
    <row r="44" spans="1:7">
      <c r="A44" s="1" t="s">
        <v>543</v>
      </c>
      <c r="B44" s="1" t="s">
        <v>255</v>
      </c>
      <c r="D44" s="1">
        <v>103304</v>
      </c>
      <c r="E44" s="1">
        <v>100091</v>
      </c>
      <c r="F44" s="1">
        <v>121089</v>
      </c>
    </row>
    <row r="45" spans="1:7">
      <c r="A45" s="1" t="s">
        <v>549</v>
      </c>
      <c r="B45" s="1" t="s">
        <v>125</v>
      </c>
      <c r="C45" s="1">
        <v>324651</v>
      </c>
      <c r="D45" s="1">
        <v>334667</v>
      </c>
      <c r="E45" s="1">
        <v>392995</v>
      </c>
      <c r="F45" s="1">
        <v>447213</v>
      </c>
      <c r="G45" s="1">
        <v>436846</v>
      </c>
    </row>
    <row r="46" spans="1:7">
      <c r="A46" s="1" t="s">
        <v>552</v>
      </c>
      <c r="B46" s="1" t="s">
        <v>29</v>
      </c>
      <c r="C46" s="1">
        <v>254807</v>
      </c>
      <c r="D46" s="1">
        <v>273252</v>
      </c>
      <c r="E46" s="1">
        <v>250651</v>
      </c>
      <c r="F46" s="1">
        <v>264293</v>
      </c>
      <c r="G46" s="1">
        <v>304815</v>
      </c>
    </row>
    <row r="47" spans="1:7">
      <c r="A47" s="1" t="s">
        <v>556</v>
      </c>
      <c r="B47" s="1" t="s">
        <v>121</v>
      </c>
      <c r="D47" s="1">
        <v>382628</v>
      </c>
      <c r="E47" s="1">
        <v>6233984</v>
      </c>
      <c r="F47" s="1">
        <v>7623682</v>
      </c>
      <c r="G47" s="1">
        <v>6351245</v>
      </c>
    </row>
    <row r="48" spans="1:7">
      <c r="A48" s="1" t="s">
        <v>557</v>
      </c>
      <c r="B48" s="1" t="s">
        <v>281</v>
      </c>
      <c r="C48" s="1">
        <v>167690</v>
      </c>
      <c r="D48" s="1">
        <v>141046</v>
      </c>
      <c r="E48" s="1">
        <v>112221</v>
      </c>
      <c r="F48" s="1">
        <v>106195</v>
      </c>
    </row>
    <row r="49" spans="1:7">
      <c r="A49" s="1" t="s">
        <v>569</v>
      </c>
      <c r="B49" s="1" t="s">
        <v>39</v>
      </c>
      <c r="C49" s="1">
        <v>1126436</v>
      </c>
      <c r="D49" s="1">
        <v>1149498</v>
      </c>
      <c r="E49" s="1">
        <v>1185710</v>
      </c>
      <c r="F49" s="1">
        <v>1203979</v>
      </c>
      <c r="G49" s="1">
        <v>1181106</v>
      </c>
    </row>
    <row r="50" spans="1:7">
      <c r="A50" s="1" t="s">
        <v>571</v>
      </c>
      <c r="B50" s="1" t="s">
        <v>283</v>
      </c>
      <c r="C50" s="1">
        <v>160099</v>
      </c>
      <c r="D50" s="1">
        <v>162876</v>
      </c>
      <c r="E50" s="1">
        <v>165032</v>
      </c>
      <c r="F50" s="1">
        <v>145819</v>
      </c>
      <c r="G50" s="1">
        <v>129262</v>
      </c>
    </row>
    <row r="51" spans="1:7">
      <c r="A51" s="1" t="s">
        <v>576</v>
      </c>
      <c r="B51" s="1" t="s">
        <v>163</v>
      </c>
      <c r="F51" s="1">
        <v>114936</v>
      </c>
      <c r="G51" s="1">
        <v>47125</v>
      </c>
    </row>
    <row r="52" spans="1:7">
      <c r="A52" s="1" t="s">
        <v>578</v>
      </c>
      <c r="B52" s="1" t="s">
        <v>121</v>
      </c>
      <c r="C52" s="1">
        <v>296976</v>
      </c>
      <c r="D52" s="1">
        <v>192623</v>
      </c>
      <c r="E52" s="1" t="s">
        <v>920</v>
      </c>
      <c r="F52" s="1">
        <v>453252</v>
      </c>
      <c r="G52" s="1">
        <v>353008</v>
      </c>
    </row>
    <row r="53" spans="1:7">
      <c r="A53" s="1" t="s">
        <v>583</v>
      </c>
      <c r="B53" s="1" t="s">
        <v>29</v>
      </c>
      <c r="C53" s="1">
        <v>900734</v>
      </c>
      <c r="D53" s="1">
        <v>900780</v>
      </c>
      <c r="E53" s="1">
        <v>696955</v>
      </c>
      <c r="F53" s="1">
        <v>562468</v>
      </c>
      <c r="G53" s="1">
        <v>395641</v>
      </c>
    </row>
    <row r="54" spans="1:7">
      <c r="A54" s="1" t="s">
        <v>588</v>
      </c>
      <c r="B54" s="1" t="s">
        <v>272</v>
      </c>
      <c r="G54" s="1">
        <v>103394</v>
      </c>
    </row>
    <row r="55" spans="1:7">
      <c r="A55" s="1" t="s">
        <v>591</v>
      </c>
      <c r="B55" s="1" t="s">
        <v>121</v>
      </c>
      <c r="C55" s="1">
        <v>169756</v>
      </c>
      <c r="D55" s="1">
        <v>284391</v>
      </c>
      <c r="E55" s="1">
        <v>64378</v>
      </c>
      <c r="F55" s="1" t="s">
        <v>921</v>
      </c>
      <c r="G55" s="1" t="s">
        <v>921</v>
      </c>
    </row>
  </sheetData>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outlinePr summaryBelow="0" summaryRight="0"/>
  </sheetPr>
  <dimension ref="A1:Q311"/>
  <sheetViews>
    <sheetView workbookViewId="0">
      <pane ySplit="2" topLeftCell="A231" activePane="bottomLeft" state="frozen"/>
      <selection pane="bottomLeft" activeCell="H1" sqref="H1:H1048576"/>
    </sheetView>
  </sheetViews>
  <sheetFormatPr defaultColWidth="14.453125" defaultRowHeight="15" customHeight="1"/>
  <cols>
    <col min="1" max="1" width="29.26953125" customWidth="1"/>
  </cols>
  <sheetData>
    <row r="1" spans="1:17">
      <c r="A1" s="8" t="s">
        <v>908</v>
      </c>
      <c r="B1" s="8" t="s">
        <v>603</v>
      </c>
      <c r="C1" s="8" t="s">
        <v>604</v>
      </c>
      <c r="D1" s="8" t="s">
        <v>605</v>
      </c>
      <c r="E1" s="8" t="s">
        <v>606</v>
      </c>
      <c r="F1" s="8" t="s">
        <v>607</v>
      </c>
      <c r="G1" s="8"/>
      <c r="H1" s="8"/>
      <c r="I1" s="8"/>
      <c r="J1" s="8"/>
      <c r="K1" s="8"/>
      <c r="L1" s="8"/>
      <c r="M1" s="8"/>
      <c r="N1" s="8"/>
      <c r="O1" s="8"/>
      <c r="P1" s="8"/>
      <c r="Q1" s="8"/>
    </row>
    <row r="2" spans="1:17">
      <c r="A2" s="8" t="s">
        <v>922</v>
      </c>
      <c r="B2" s="61">
        <f t="shared" ref="B2:F2" si="0">SUM(B3:B311)</f>
        <v>52610193</v>
      </c>
      <c r="C2" s="61">
        <f t="shared" si="0"/>
        <v>60086510</v>
      </c>
      <c r="D2" s="61">
        <f t="shared" si="0"/>
        <v>57221754</v>
      </c>
      <c r="E2" s="61">
        <f t="shared" si="0"/>
        <v>63232701</v>
      </c>
      <c r="F2" s="61">
        <f t="shared" si="0"/>
        <v>58689357</v>
      </c>
      <c r="G2" s="61"/>
      <c r="H2" s="61"/>
      <c r="I2" s="61"/>
      <c r="J2" s="61"/>
      <c r="K2" s="61"/>
      <c r="L2" s="61"/>
      <c r="M2" s="61"/>
      <c r="N2" s="61"/>
      <c r="O2" s="61"/>
      <c r="P2" s="61"/>
      <c r="Q2" s="61"/>
    </row>
    <row r="3" spans="1:17">
      <c r="A3" s="54" t="s">
        <v>291</v>
      </c>
      <c r="B3" s="67">
        <f>(SUMIFS('Safeguard facility data'!BB$4:BB$312,'Safeguard facility data'!$A$4:$A$312,$A3,'Safeguard facility data'!BB$4:BB$312,"&gt;0"))-(SUMIFS('Safeguard facility data'!BI$4:BI$312,'Safeguard facility data'!$A$4:$A$312,$A3,'Safeguard facility data'!BI$4:BI$312,"&gt;0"))</f>
        <v>100477</v>
      </c>
      <c r="C3" s="67">
        <f>(SUMIFS('Safeguard facility data'!BC$4:BC$312,'Safeguard facility data'!$A$4:$A$312,$A3,'Safeguard facility data'!BC$4:BC$312,"&gt;0"))-(SUMIFS('Safeguard facility data'!BJ$4:BJ$312,'Safeguard facility data'!$A$4:$A$312,$A3,'Safeguard facility data'!BJ$4:BJ$312,"&gt;0"))</f>
        <v>100477</v>
      </c>
      <c r="D3" s="67">
        <f>(SUMIFS('Safeguard facility data'!BD$4:BD$312,'Safeguard facility data'!$A$4:$A$312,$A3,'Safeguard facility data'!BD$4:BD$312,"&gt;0"))-(SUMIFS('Safeguard facility data'!BK$4:BK$312,'Safeguard facility data'!$A$4:$A$312,$A3,'Safeguard facility data'!BK$4:BK$312,"&gt;0"))</f>
        <v>100477</v>
      </c>
      <c r="E3" s="67">
        <f>(SUMIFS('Safeguard facility data'!BE$4:BE$312,'Safeguard facility data'!$A$4:$A$312,$A3,'Safeguard facility data'!BE$4:BE$312,"&gt;0"))-(SUMIFS('Safeguard facility data'!BL$4:BL$312,'Safeguard facility data'!$A$4:$A$312,$A3,'Safeguard facility data'!BL$4:BL$312,"&gt;0"))</f>
        <v>100477</v>
      </c>
      <c r="F3" s="67">
        <f>(SUMIFS('Safeguard facility data'!BF$4:BF$312,'Safeguard facility data'!$A$4:$A$312,$A3,'Safeguard facility data'!BF$4:BF$312,"&gt;0"))-(SUMIFS('Safeguard facility data'!BM$4:BM$312,'Safeguard facility data'!$A$4:$A$312,$A3,'Safeguard facility data'!BM$4:BM$312,"&gt;0"))</f>
        <v>112530</v>
      </c>
      <c r="G3" s="67"/>
      <c r="H3" s="67"/>
      <c r="I3" s="67"/>
      <c r="J3" s="67"/>
      <c r="K3" s="67"/>
      <c r="L3" s="67"/>
      <c r="M3" s="67"/>
      <c r="N3" s="67"/>
      <c r="O3" s="67"/>
      <c r="P3" s="67"/>
      <c r="Q3" s="67"/>
    </row>
    <row r="4" spans="1:17">
      <c r="A4" s="87" t="s">
        <v>293</v>
      </c>
      <c r="B4" s="67">
        <f>(SUMIFS('Safeguard facility data'!BB$4:BB$312,'Safeguard facility data'!$A$4:$A$312,$A4,'Safeguard facility data'!BB$4:BB$312,"&gt;0"))-(SUMIFS('Safeguard facility data'!BI$4:BI$312,'Safeguard facility data'!$A$4:$A$312,$A4,'Safeguard facility data'!BI$4:BI$312,"&gt;0"))</f>
        <v>148286</v>
      </c>
      <c r="C4" s="67">
        <f>(SUMIFS('Safeguard facility data'!BC$4:BC$312,'Safeguard facility data'!$A$4:$A$312,$A4,'Safeguard facility data'!BC$4:BC$312,"&gt;0"))-(SUMIFS('Safeguard facility data'!BJ$4:BJ$312,'Safeguard facility data'!$A$4:$A$312,$A4,'Safeguard facility data'!BJ$4:BJ$312,"&gt;0"))</f>
        <v>148286</v>
      </c>
      <c r="D4" s="67">
        <f>(SUMIFS('Safeguard facility data'!BD$4:BD$312,'Safeguard facility data'!$A$4:$A$312,$A4,'Safeguard facility data'!BD$4:BD$312,"&gt;0"))-(SUMIFS('Safeguard facility data'!BK$4:BK$312,'Safeguard facility data'!$A$4:$A$312,$A4,'Safeguard facility data'!BK$4:BK$312,"&gt;0"))</f>
        <v>148286</v>
      </c>
      <c r="E4" s="67">
        <f>(SUMIFS('Safeguard facility data'!BE$4:BE$312,'Safeguard facility data'!$A$4:$A$312,$A4,'Safeguard facility data'!BE$4:BE$312,"&gt;0"))-(SUMIFS('Safeguard facility data'!BL$4:BL$312,'Safeguard facility data'!$A$4:$A$312,$A4,'Safeguard facility data'!BL$4:BL$312,"&gt;0"))</f>
        <v>148286</v>
      </c>
      <c r="F4" s="67">
        <f>(SUMIFS('Safeguard facility data'!BF$4:BF$312,'Safeguard facility data'!$A$4:$A$312,$A4,'Safeguard facility data'!BF$4:BF$312,"&gt;0"))-(SUMIFS('Safeguard facility data'!BM$4:BM$312,'Safeguard facility data'!$A$4:$A$312,$A4,'Safeguard facility data'!BM$4:BM$312,"&gt;0"))</f>
        <v>148286</v>
      </c>
      <c r="G4" s="67"/>
      <c r="H4" s="67"/>
      <c r="I4" s="67"/>
      <c r="J4" s="67"/>
      <c r="K4" s="67"/>
      <c r="L4" s="67"/>
      <c r="M4" s="67"/>
      <c r="N4" s="67"/>
      <c r="O4" s="67"/>
      <c r="P4" s="67"/>
      <c r="Q4" s="67"/>
    </row>
    <row r="5" spans="1:17">
      <c r="A5" s="87" t="s">
        <v>294</v>
      </c>
      <c r="B5" s="67">
        <f>(SUMIFS('Safeguard facility data'!BB$4:BB$312,'Safeguard facility data'!$A$4:$A$312,$A5,'Safeguard facility data'!BB$4:BB$312,"&gt;0"))-(SUMIFS('Safeguard facility data'!BI$4:BI$312,'Safeguard facility data'!$A$4:$A$312,$A5,'Safeguard facility data'!BI$4:BI$312,"&gt;0"))</f>
        <v>141051</v>
      </c>
      <c r="C5" s="67">
        <f>(SUMIFS('Safeguard facility data'!BC$4:BC$312,'Safeguard facility data'!$A$4:$A$312,$A5,'Safeguard facility data'!BC$4:BC$312,"&gt;0"))-(SUMIFS('Safeguard facility data'!BJ$4:BJ$312,'Safeguard facility data'!$A$4:$A$312,$A5,'Safeguard facility data'!BJ$4:BJ$312,"&gt;0"))</f>
        <v>141051</v>
      </c>
      <c r="D5" s="67">
        <f>(SUMIFS('Safeguard facility data'!BD$4:BD$312,'Safeguard facility data'!$A$4:$A$312,$A5,'Safeguard facility data'!BD$4:BD$312,"&gt;0"))-(SUMIFS('Safeguard facility data'!BK$4:BK$312,'Safeguard facility data'!$A$4:$A$312,$A5,'Safeguard facility data'!BK$4:BK$312,"&gt;0"))</f>
        <v>141051</v>
      </c>
      <c r="E5" s="67">
        <f>(SUMIFS('Safeguard facility data'!BE$4:BE$312,'Safeguard facility data'!$A$4:$A$312,$A5,'Safeguard facility data'!BE$4:BE$312,"&gt;0"))-(SUMIFS('Safeguard facility data'!BL$4:BL$312,'Safeguard facility data'!$A$4:$A$312,$A5,'Safeguard facility data'!BL$4:BL$312,"&gt;0"))</f>
        <v>141051</v>
      </c>
      <c r="F5" s="67">
        <f>(SUMIFS('Safeguard facility data'!BF$4:BF$312,'Safeguard facility data'!$A$4:$A$312,$A5,'Safeguard facility data'!BF$4:BF$312,"&gt;0"))-(SUMIFS('Safeguard facility data'!BM$4:BM$312,'Safeguard facility data'!$A$4:$A$312,$A5,'Safeguard facility data'!BM$4:BM$312,"&gt;0"))</f>
        <v>141002</v>
      </c>
      <c r="G5" s="67"/>
      <c r="H5" s="67"/>
      <c r="I5" s="67"/>
      <c r="J5" s="67"/>
      <c r="K5" s="67"/>
      <c r="L5" s="67"/>
      <c r="M5" s="67"/>
      <c r="N5" s="67"/>
      <c r="O5" s="67"/>
      <c r="P5" s="67"/>
      <c r="Q5" s="67"/>
    </row>
    <row r="6" spans="1:17">
      <c r="A6" s="87" t="s">
        <v>295</v>
      </c>
      <c r="B6" s="67">
        <f>(SUMIFS('Safeguard facility data'!BB$4:BB$312,'Safeguard facility data'!$A$4:$A$312,$A6,'Safeguard facility data'!BB$4:BB$312,"&gt;0"))-(SUMIFS('Safeguard facility data'!BI$4:BI$312,'Safeguard facility data'!$A$4:$A$312,$A6,'Safeguard facility data'!BI$4:BI$312,"&gt;0"))</f>
        <v>96793</v>
      </c>
      <c r="C6" s="67">
        <f>(SUMIFS('Safeguard facility data'!BC$4:BC$312,'Safeguard facility data'!$A$4:$A$312,$A6,'Safeguard facility data'!BC$4:BC$312,"&gt;0"))-(SUMIFS('Safeguard facility data'!BJ$4:BJ$312,'Safeguard facility data'!$A$4:$A$312,$A6,'Safeguard facility data'!BJ$4:BJ$312,"&gt;0"))</f>
        <v>124497</v>
      </c>
      <c r="D6" s="67">
        <f>(SUMIFS('Safeguard facility data'!BD$4:BD$312,'Safeguard facility data'!$A$4:$A$312,$A6,'Safeguard facility data'!BD$4:BD$312,"&gt;0"))-(SUMIFS('Safeguard facility data'!BK$4:BK$312,'Safeguard facility data'!$A$4:$A$312,$A6,'Safeguard facility data'!BK$4:BK$312,"&gt;0"))</f>
        <v>117909</v>
      </c>
      <c r="E6" s="67">
        <f>(SUMIFS('Safeguard facility data'!BE$4:BE$312,'Safeguard facility data'!$A$4:$A$312,$A6,'Safeguard facility data'!BE$4:BE$312,"&gt;0"))-(SUMIFS('Safeguard facility data'!BL$4:BL$312,'Safeguard facility data'!$A$4:$A$312,$A6,'Safeguard facility data'!BL$4:BL$312,"&gt;0"))</f>
        <v>246443</v>
      </c>
      <c r="F6" s="67">
        <f>(SUMIFS('Safeguard facility data'!BF$4:BF$312,'Safeguard facility data'!$A$4:$A$312,$A6,'Safeguard facility data'!BF$4:BF$312,"&gt;0"))-(SUMIFS('Safeguard facility data'!BM$4:BM$312,'Safeguard facility data'!$A$4:$A$312,$A6,'Safeguard facility data'!BM$4:BM$312,"&gt;0"))</f>
        <v>246443</v>
      </c>
      <c r="G6" s="67"/>
      <c r="H6" s="67"/>
      <c r="I6" s="67"/>
      <c r="J6" s="67"/>
      <c r="K6" s="67"/>
      <c r="L6" s="67"/>
      <c r="M6" s="67"/>
      <c r="N6" s="67"/>
      <c r="O6" s="67"/>
      <c r="P6" s="67"/>
      <c r="Q6" s="67"/>
    </row>
    <row r="7" spans="1:17">
      <c r="A7" s="87" t="s">
        <v>296</v>
      </c>
      <c r="B7" s="67">
        <f>(SUMIFS('Safeguard facility data'!BB$4:BB$312,'Safeguard facility data'!$A$4:$A$312,$A7,'Safeguard facility data'!BB$4:BB$312,"&gt;0"))-(SUMIFS('Safeguard facility data'!BI$4:BI$312,'Safeguard facility data'!$A$4:$A$312,$A7,'Safeguard facility data'!BI$4:BI$312,"&gt;0"))</f>
        <v>692925</v>
      </c>
      <c r="C7" s="67">
        <f>(SUMIFS('Safeguard facility data'!BC$4:BC$312,'Safeguard facility data'!$A$4:$A$312,$A7,'Safeguard facility data'!BC$4:BC$312,"&gt;0"))-(SUMIFS('Safeguard facility data'!BJ$4:BJ$312,'Safeguard facility data'!$A$4:$A$312,$A7,'Safeguard facility data'!BJ$4:BJ$312,"&gt;0"))</f>
        <v>582775</v>
      </c>
      <c r="D7" s="67">
        <f>(SUMIFS('Safeguard facility data'!BD$4:BD$312,'Safeguard facility data'!$A$4:$A$312,$A7,'Safeguard facility data'!BD$4:BD$312,"&gt;0"))-(SUMIFS('Safeguard facility data'!BK$4:BK$312,'Safeguard facility data'!$A$4:$A$312,$A7,'Safeguard facility data'!BK$4:BK$312,"&gt;0"))</f>
        <v>617197</v>
      </c>
      <c r="E7" s="67">
        <f>(SUMIFS('Safeguard facility data'!BE$4:BE$312,'Safeguard facility data'!$A$4:$A$312,$A7,'Safeguard facility data'!BE$4:BE$312,"&gt;0"))-(SUMIFS('Safeguard facility data'!BL$4:BL$312,'Safeguard facility data'!$A$4:$A$312,$A7,'Safeguard facility data'!BL$4:BL$312,"&gt;0"))</f>
        <v>537663</v>
      </c>
      <c r="F7" s="67">
        <f>(SUMIFS('Safeguard facility data'!BF$4:BF$312,'Safeguard facility data'!$A$4:$A$312,$A7,'Safeguard facility data'!BF$4:BF$312,"&gt;0"))-(SUMIFS('Safeguard facility data'!BM$4:BM$312,'Safeguard facility data'!$A$4:$A$312,$A7,'Safeguard facility data'!BM$4:BM$312,"&gt;0"))</f>
        <v>534061</v>
      </c>
      <c r="G7" s="67"/>
      <c r="H7" s="67"/>
      <c r="I7" s="67"/>
      <c r="J7" s="67"/>
      <c r="K7" s="67"/>
      <c r="L7" s="67"/>
      <c r="M7" s="67"/>
      <c r="N7" s="67"/>
      <c r="O7" s="67"/>
      <c r="P7" s="67"/>
      <c r="Q7" s="67"/>
    </row>
    <row r="8" spans="1:17">
      <c r="A8" s="87" t="s">
        <v>297</v>
      </c>
      <c r="B8" s="67">
        <f>(SUMIFS('Safeguard facility data'!BB$4:BB$312,'Safeguard facility data'!$A$4:$A$312,$A8,'Safeguard facility data'!BB$4:BB$312,"&gt;0"))-(SUMIFS('Safeguard facility data'!BI$4:BI$312,'Safeguard facility data'!$A$4:$A$312,$A8,'Safeguard facility data'!BI$4:BI$312,"&gt;0"))</f>
        <v>1575387</v>
      </c>
      <c r="C8" s="67">
        <f>(SUMIFS('Safeguard facility data'!BC$4:BC$312,'Safeguard facility data'!$A$4:$A$312,$A8,'Safeguard facility data'!BC$4:BC$312,"&gt;0"))-(SUMIFS('Safeguard facility data'!BJ$4:BJ$312,'Safeguard facility data'!$A$4:$A$312,$A8,'Safeguard facility data'!BJ$4:BJ$312,"&gt;0"))</f>
        <v>2044548</v>
      </c>
      <c r="D8" s="67">
        <f>(SUMIFS('Safeguard facility data'!BD$4:BD$312,'Safeguard facility data'!$A$4:$A$312,$A8,'Safeguard facility data'!BD$4:BD$312,"&gt;0"))-(SUMIFS('Safeguard facility data'!BK$4:BK$312,'Safeguard facility data'!$A$4:$A$312,$A8,'Safeguard facility data'!BK$4:BK$312,"&gt;0"))</f>
        <v>1950511</v>
      </c>
      <c r="E8" s="67">
        <f>(SUMIFS('Safeguard facility data'!BE$4:BE$312,'Safeguard facility data'!$A$4:$A$312,$A8,'Safeguard facility data'!BE$4:BE$312,"&gt;0"))-(SUMIFS('Safeguard facility data'!BL$4:BL$312,'Safeguard facility data'!$A$4:$A$312,$A8,'Safeguard facility data'!BL$4:BL$312,"&gt;0"))</f>
        <v>1793197</v>
      </c>
      <c r="F8" s="67">
        <f>(SUMIFS('Safeguard facility data'!BF$4:BF$312,'Safeguard facility data'!$A$4:$A$312,$A8,'Safeguard facility data'!BF$4:BF$312,"&gt;0"))-(SUMIFS('Safeguard facility data'!BM$4:BM$312,'Safeguard facility data'!$A$4:$A$312,$A8,'Safeguard facility data'!BM$4:BM$312,"&gt;0"))</f>
        <v>2019714</v>
      </c>
      <c r="G8" s="67"/>
      <c r="H8" s="67"/>
      <c r="I8" s="67"/>
      <c r="J8" s="67"/>
      <c r="K8" s="67"/>
      <c r="L8" s="67"/>
      <c r="M8" s="67"/>
      <c r="N8" s="67"/>
      <c r="O8" s="67"/>
      <c r="P8" s="67"/>
      <c r="Q8" s="67"/>
    </row>
    <row r="9" spans="1:17">
      <c r="A9" s="87" t="s">
        <v>299</v>
      </c>
      <c r="B9" s="67">
        <f>(SUMIFS('Safeguard facility data'!BB$4:BB$312,'Safeguard facility data'!$A$4:$A$312,$A9,'Safeguard facility data'!BB$4:BB$312,"&gt;0"))-(SUMIFS('Safeguard facility data'!BI$4:BI$312,'Safeguard facility data'!$A$4:$A$312,$A9,'Safeguard facility data'!BI$4:BI$312,"&gt;0"))</f>
        <v>-4099</v>
      </c>
      <c r="C9" s="67">
        <f>(SUMIFS('Safeguard facility data'!BC$4:BC$312,'Safeguard facility data'!$A$4:$A$312,$A9,'Safeguard facility data'!BC$4:BC$312,"&gt;0"))-(SUMIFS('Safeguard facility data'!BJ$4:BJ$312,'Safeguard facility data'!$A$4:$A$312,$A9,'Safeguard facility data'!BJ$4:BJ$312,"&gt;0"))</f>
        <v>281227</v>
      </c>
      <c r="D9" s="67">
        <f>(SUMIFS('Safeguard facility data'!BD$4:BD$312,'Safeguard facility data'!$A$4:$A$312,$A9,'Safeguard facility data'!BD$4:BD$312,"&gt;0"))-(SUMIFS('Safeguard facility data'!BK$4:BK$312,'Safeguard facility data'!$A$4:$A$312,$A9,'Safeguard facility data'!BK$4:BK$312,"&gt;0"))</f>
        <v>386831</v>
      </c>
      <c r="E9" s="67">
        <f>(SUMIFS('Safeguard facility data'!BE$4:BE$312,'Safeguard facility data'!$A$4:$A$312,$A9,'Safeguard facility data'!BE$4:BE$312,"&gt;0"))-(SUMIFS('Safeguard facility data'!BL$4:BL$312,'Safeguard facility data'!$A$4:$A$312,$A9,'Safeguard facility data'!BL$4:BL$312,"&gt;0"))</f>
        <v>315572</v>
      </c>
      <c r="F9" s="67">
        <f>(SUMIFS('Safeguard facility data'!BF$4:BF$312,'Safeguard facility data'!$A$4:$A$312,$A9,'Safeguard facility data'!BF$4:BF$312,"&gt;0"))-(SUMIFS('Safeguard facility data'!BM$4:BM$312,'Safeguard facility data'!$A$4:$A$312,$A9,'Safeguard facility data'!BM$4:BM$312,"&gt;0"))</f>
        <v>203494</v>
      </c>
      <c r="G9" s="67"/>
      <c r="H9" s="67"/>
      <c r="I9" s="67"/>
      <c r="J9" s="67"/>
      <c r="K9" s="67"/>
      <c r="L9" s="67"/>
      <c r="M9" s="67"/>
      <c r="N9" s="67"/>
      <c r="O9" s="67"/>
      <c r="P9" s="67"/>
      <c r="Q9" s="67"/>
    </row>
    <row r="10" spans="1:17">
      <c r="A10" s="87" t="s">
        <v>300</v>
      </c>
      <c r="B10" s="67">
        <f>(SUMIFS('Safeguard facility data'!BB$4:BB$312,'Safeguard facility data'!$A$4:$A$312,$A10,'Safeguard facility data'!BB$4:BB$312,"&gt;0"))-(SUMIFS('Safeguard facility data'!BI$4:BI$312,'Safeguard facility data'!$A$4:$A$312,$A10,'Safeguard facility data'!BI$4:BI$312,"&gt;0"))</f>
        <v>46442</v>
      </c>
      <c r="C10" s="67">
        <f>(SUMIFS('Safeguard facility data'!BC$4:BC$312,'Safeguard facility data'!$A$4:$A$312,$A10,'Safeguard facility data'!BC$4:BC$312,"&gt;0"))-(SUMIFS('Safeguard facility data'!BJ$4:BJ$312,'Safeguard facility data'!$A$4:$A$312,$A10,'Safeguard facility data'!BJ$4:BJ$312,"&gt;0"))</f>
        <v>28725</v>
      </c>
      <c r="D10" s="67">
        <f>(SUMIFS('Safeguard facility data'!BD$4:BD$312,'Safeguard facility data'!$A$4:$A$312,$A10,'Safeguard facility data'!BD$4:BD$312,"&gt;0"))-(SUMIFS('Safeguard facility data'!BK$4:BK$312,'Safeguard facility data'!$A$4:$A$312,$A10,'Safeguard facility data'!BK$4:BK$312,"&gt;0"))</f>
        <v>73064</v>
      </c>
      <c r="E10" s="67">
        <f>(SUMIFS('Safeguard facility data'!BE$4:BE$312,'Safeguard facility data'!$A$4:$A$312,$A10,'Safeguard facility data'!BE$4:BE$312,"&gt;0"))-(SUMIFS('Safeguard facility data'!BL$4:BL$312,'Safeguard facility data'!$A$4:$A$312,$A10,'Safeguard facility data'!BL$4:BL$312,"&gt;0"))</f>
        <v>25073</v>
      </c>
      <c r="F10" s="67">
        <f>(SUMIFS('Safeguard facility data'!BF$4:BF$312,'Safeguard facility data'!$A$4:$A$312,$A10,'Safeguard facility data'!BF$4:BF$312,"&gt;0"))-(SUMIFS('Safeguard facility data'!BM$4:BM$312,'Safeguard facility data'!$A$4:$A$312,$A10,'Safeguard facility data'!BM$4:BM$312,"&gt;0"))</f>
        <v>36722</v>
      </c>
      <c r="G10" s="67"/>
      <c r="H10" s="67"/>
      <c r="I10" s="67"/>
      <c r="J10" s="67"/>
      <c r="K10" s="67"/>
      <c r="L10" s="67"/>
      <c r="M10" s="67"/>
      <c r="N10" s="67"/>
      <c r="O10" s="67"/>
      <c r="P10" s="67"/>
      <c r="Q10" s="67"/>
    </row>
    <row r="11" spans="1:17">
      <c r="A11" s="87" t="s">
        <v>301</v>
      </c>
      <c r="B11" s="67">
        <f>(SUMIFS('Safeguard facility data'!BB$4:BB$312,'Safeguard facility data'!$A$4:$A$312,$A11,'Safeguard facility data'!BB$4:BB$312,"&gt;0"))-(SUMIFS('Safeguard facility data'!BI$4:BI$312,'Safeguard facility data'!$A$4:$A$312,$A11,'Safeguard facility data'!BI$4:BI$312,"&gt;0"))</f>
        <v>0</v>
      </c>
      <c r="C11" s="67">
        <f>(SUMIFS('Safeguard facility data'!BC$4:BC$312,'Safeguard facility data'!$A$4:$A$312,$A11,'Safeguard facility data'!BC$4:BC$312,"&gt;0"))-(SUMIFS('Safeguard facility data'!BJ$4:BJ$312,'Safeguard facility data'!$A$4:$A$312,$A11,'Safeguard facility data'!BJ$4:BJ$312,"&gt;0"))</f>
        <v>0</v>
      </c>
      <c r="D11" s="67">
        <f>(SUMIFS('Safeguard facility data'!BD$4:BD$312,'Safeguard facility data'!$A$4:$A$312,$A11,'Safeguard facility data'!BD$4:BD$312,"&gt;0"))-(SUMIFS('Safeguard facility data'!BK$4:BK$312,'Safeguard facility data'!$A$4:$A$312,$A11,'Safeguard facility data'!BK$4:BK$312,"&gt;0"))</f>
        <v>0</v>
      </c>
      <c r="E11" s="67">
        <f>(SUMIFS('Safeguard facility data'!BE$4:BE$312,'Safeguard facility data'!$A$4:$A$312,$A11,'Safeguard facility data'!BE$4:BE$312,"&gt;0"))-(SUMIFS('Safeguard facility data'!BL$4:BL$312,'Safeguard facility data'!$A$4:$A$312,$A11,'Safeguard facility data'!BL$4:BL$312,"&gt;0"))</f>
        <v>0</v>
      </c>
      <c r="F11" s="67">
        <f>(SUMIFS('Safeguard facility data'!BF$4:BF$312,'Safeguard facility data'!$A$4:$A$312,$A11,'Safeguard facility data'!BF$4:BF$312,"&gt;0"))-(SUMIFS('Safeguard facility data'!BM$4:BM$312,'Safeguard facility data'!$A$4:$A$312,$A11,'Safeguard facility data'!BM$4:BM$312,"&gt;0"))</f>
        <v>121354</v>
      </c>
      <c r="G11" s="67"/>
      <c r="H11" s="67"/>
      <c r="I11" s="67"/>
      <c r="J11" s="67"/>
      <c r="K11" s="67"/>
      <c r="L11" s="67"/>
      <c r="M11" s="67"/>
      <c r="N11" s="67"/>
      <c r="O11" s="67"/>
      <c r="P11" s="67"/>
      <c r="Q11" s="67"/>
    </row>
    <row r="12" spans="1:17">
      <c r="A12" s="87" t="s">
        <v>302</v>
      </c>
      <c r="B12" s="67">
        <f>(SUMIFS('Safeguard facility data'!BB$4:BB$312,'Safeguard facility data'!$A$4:$A$312,$A12,'Safeguard facility data'!BB$4:BB$312,"&gt;0"))-(SUMIFS('Safeguard facility data'!BI$4:BI$312,'Safeguard facility data'!$A$4:$A$312,$A12,'Safeguard facility data'!BI$4:BI$312,"&gt;0"))</f>
        <v>161792</v>
      </c>
      <c r="C12" s="67">
        <f>(SUMIFS('Safeguard facility data'!BC$4:BC$312,'Safeguard facility data'!$A$4:$A$312,$A12,'Safeguard facility data'!BC$4:BC$312,"&gt;0"))-(SUMIFS('Safeguard facility data'!BJ$4:BJ$312,'Safeguard facility data'!$A$4:$A$312,$A12,'Safeguard facility data'!BJ$4:BJ$312,"&gt;0"))</f>
        <v>242087</v>
      </c>
      <c r="D12" s="67">
        <f>(SUMIFS('Safeguard facility data'!BD$4:BD$312,'Safeguard facility data'!$A$4:$A$312,$A12,'Safeguard facility data'!BD$4:BD$312,"&gt;0"))-(SUMIFS('Safeguard facility data'!BK$4:BK$312,'Safeguard facility data'!$A$4:$A$312,$A12,'Safeguard facility data'!BK$4:BK$312,"&gt;0"))</f>
        <v>285054</v>
      </c>
      <c r="E12" s="67">
        <f>(SUMIFS('Safeguard facility data'!BE$4:BE$312,'Safeguard facility data'!$A$4:$A$312,$A12,'Safeguard facility data'!BE$4:BE$312,"&gt;0"))-(SUMIFS('Safeguard facility data'!BL$4:BL$312,'Safeguard facility data'!$A$4:$A$312,$A12,'Safeguard facility data'!BL$4:BL$312,"&gt;0"))</f>
        <v>304594</v>
      </c>
      <c r="F12" s="67">
        <f>(SUMIFS('Safeguard facility data'!BF$4:BF$312,'Safeguard facility data'!$A$4:$A$312,$A12,'Safeguard facility data'!BF$4:BF$312,"&gt;0"))-(SUMIFS('Safeguard facility data'!BM$4:BM$312,'Safeguard facility data'!$A$4:$A$312,$A12,'Safeguard facility data'!BM$4:BM$312,"&gt;0"))</f>
        <v>78294</v>
      </c>
      <c r="G12" s="67"/>
      <c r="H12" s="67"/>
      <c r="I12" s="67"/>
      <c r="J12" s="67"/>
      <c r="K12" s="67"/>
      <c r="L12" s="67"/>
      <c r="M12" s="67"/>
      <c r="N12" s="67"/>
      <c r="O12" s="67"/>
      <c r="P12" s="67"/>
      <c r="Q12" s="67"/>
    </row>
    <row r="13" spans="1:17">
      <c r="A13" s="87" t="s">
        <v>303</v>
      </c>
      <c r="B13" s="67">
        <f>(SUMIFS('Safeguard facility data'!BB$4:BB$312,'Safeguard facility data'!$A$4:$A$312,$A13,'Safeguard facility data'!BB$4:BB$312,"&gt;0"))-(SUMIFS('Safeguard facility data'!BI$4:BI$312,'Safeguard facility data'!$A$4:$A$312,$A13,'Safeguard facility data'!BI$4:BI$312,"&gt;0"))</f>
        <v>-6023</v>
      </c>
      <c r="C13" s="67">
        <f>(SUMIFS('Safeguard facility data'!BC$4:BC$312,'Safeguard facility data'!$A$4:$A$312,$A13,'Safeguard facility data'!BC$4:BC$312,"&gt;0"))-(SUMIFS('Safeguard facility data'!BJ$4:BJ$312,'Safeguard facility data'!$A$4:$A$312,$A13,'Safeguard facility data'!BJ$4:BJ$312,"&gt;0"))</f>
        <v>-592</v>
      </c>
      <c r="D13" s="67">
        <f>(SUMIFS('Safeguard facility data'!BD$4:BD$312,'Safeguard facility data'!$A$4:$A$312,$A13,'Safeguard facility data'!BD$4:BD$312,"&gt;0"))-(SUMIFS('Safeguard facility data'!BK$4:BK$312,'Safeguard facility data'!$A$4:$A$312,$A13,'Safeguard facility data'!BK$4:BK$312,"&gt;0"))</f>
        <v>-7432</v>
      </c>
      <c r="E13" s="67">
        <f>(SUMIFS('Safeguard facility data'!BE$4:BE$312,'Safeguard facility data'!$A$4:$A$312,$A13,'Safeguard facility data'!BE$4:BE$312,"&gt;0"))-(SUMIFS('Safeguard facility data'!BL$4:BL$312,'Safeguard facility data'!$A$4:$A$312,$A13,'Safeguard facility data'!BL$4:BL$312,"&gt;0"))</f>
        <v>51730</v>
      </c>
      <c r="F13" s="67">
        <f>(SUMIFS('Safeguard facility data'!BF$4:BF$312,'Safeguard facility data'!$A$4:$A$312,$A13,'Safeguard facility data'!BF$4:BF$312,"&gt;0"))-(SUMIFS('Safeguard facility data'!BM$4:BM$312,'Safeguard facility data'!$A$4:$A$312,$A13,'Safeguard facility data'!BM$4:BM$312,"&gt;0"))</f>
        <v>29449</v>
      </c>
      <c r="G13" s="67"/>
      <c r="H13" s="67"/>
      <c r="I13" s="67"/>
      <c r="J13" s="67"/>
      <c r="K13" s="67"/>
      <c r="L13" s="67"/>
      <c r="M13" s="67"/>
      <c r="N13" s="67"/>
      <c r="O13" s="67"/>
      <c r="P13" s="67"/>
      <c r="Q13" s="67"/>
    </row>
    <row r="14" spans="1:17">
      <c r="A14" s="87" t="s">
        <v>304</v>
      </c>
      <c r="B14" s="67">
        <f>(SUMIFS('Safeguard facility data'!BB$4:BB$312,'Safeguard facility data'!$A$4:$A$312,$A14,'Safeguard facility data'!BB$4:BB$312,"&gt;0"))-(SUMIFS('Safeguard facility data'!BI$4:BI$312,'Safeguard facility data'!$A$4:$A$312,$A14,'Safeguard facility data'!BI$4:BI$312,"&gt;0"))</f>
        <v>29912</v>
      </c>
      <c r="C14" s="67">
        <f>(SUMIFS('Safeguard facility data'!BC$4:BC$312,'Safeguard facility data'!$A$4:$A$312,$A14,'Safeguard facility data'!BC$4:BC$312,"&gt;0"))-(SUMIFS('Safeguard facility data'!BJ$4:BJ$312,'Safeguard facility data'!$A$4:$A$312,$A14,'Safeguard facility data'!BJ$4:BJ$312,"&gt;0"))</f>
        <v>14638</v>
      </c>
      <c r="D14" s="67">
        <f>(SUMIFS('Safeguard facility data'!BD$4:BD$312,'Safeguard facility data'!$A$4:$A$312,$A14,'Safeguard facility data'!BD$4:BD$312,"&gt;0"))-(SUMIFS('Safeguard facility data'!BK$4:BK$312,'Safeguard facility data'!$A$4:$A$312,$A14,'Safeguard facility data'!BK$4:BK$312,"&gt;0"))</f>
        <v>11735</v>
      </c>
      <c r="E14" s="67">
        <f>(SUMIFS('Safeguard facility data'!BE$4:BE$312,'Safeguard facility data'!$A$4:$A$312,$A14,'Safeguard facility data'!BE$4:BE$312,"&gt;0"))-(SUMIFS('Safeguard facility data'!BL$4:BL$312,'Safeguard facility data'!$A$4:$A$312,$A14,'Safeguard facility data'!BL$4:BL$312,"&gt;0"))</f>
        <v>46883</v>
      </c>
      <c r="F14" s="67">
        <f>(SUMIFS('Safeguard facility data'!BF$4:BF$312,'Safeguard facility data'!$A$4:$A$312,$A14,'Safeguard facility data'!BF$4:BF$312,"&gt;0"))-(SUMIFS('Safeguard facility data'!BM$4:BM$312,'Safeguard facility data'!$A$4:$A$312,$A14,'Safeguard facility data'!BM$4:BM$312,"&gt;0"))</f>
        <v>43848</v>
      </c>
      <c r="G14" s="67"/>
      <c r="H14" s="67"/>
      <c r="I14" s="67"/>
      <c r="J14" s="67"/>
      <c r="K14" s="67"/>
      <c r="L14" s="67"/>
      <c r="M14" s="67"/>
      <c r="N14" s="67"/>
      <c r="O14" s="67"/>
      <c r="P14" s="67"/>
      <c r="Q14" s="67"/>
    </row>
    <row r="15" spans="1:17">
      <c r="A15" s="87" t="s">
        <v>305</v>
      </c>
      <c r="B15" s="67">
        <f>(SUMIFS('Safeguard facility data'!BB$4:BB$312,'Safeguard facility data'!$A$4:$A$312,$A15,'Safeguard facility data'!BB$4:BB$312,"&gt;0"))-(SUMIFS('Safeguard facility data'!BI$4:BI$312,'Safeguard facility data'!$A$4:$A$312,$A15,'Safeguard facility data'!BI$4:BI$312,"&gt;0"))</f>
        <v>250214</v>
      </c>
      <c r="C15" s="67">
        <f>(SUMIFS('Safeguard facility data'!BC$4:BC$312,'Safeguard facility data'!$A$4:$A$312,$A15,'Safeguard facility data'!BC$4:BC$312,"&gt;0"))-(SUMIFS('Safeguard facility data'!BJ$4:BJ$312,'Safeguard facility data'!$A$4:$A$312,$A15,'Safeguard facility data'!BJ$4:BJ$312,"&gt;0"))</f>
        <v>253333</v>
      </c>
      <c r="D15" s="67">
        <f>(SUMIFS('Safeguard facility data'!BD$4:BD$312,'Safeguard facility data'!$A$4:$A$312,$A15,'Safeguard facility data'!BD$4:BD$312,"&gt;0"))-(SUMIFS('Safeguard facility data'!BK$4:BK$312,'Safeguard facility data'!$A$4:$A$312,$A15,'Safeguard facility data'!BK$4:BK$312,"&gt;0"))</f>
        <v>255907</v>
      </c>
      <c r="E15" s="67">
        <f>(SUMIFS('Safeguard facility data'!BE$4:BE$312,'Safeguard facility data'!$A$4:$A$312,$A15,'Safeguard facility data'!BE$4:BE$312,"&gt;0"))-(SUMIFS('Safeguard facility data'!BL$4:BL$312,'Safeguard facility data'!$A$4:$A$312,$A15,'Safeguard facility data'!BL$4:BL$312,"&gt;0"))</f>
        <v>258357</v>
      </c>
      <c r="F15" s="67">
        <f>(SUMIFS('Safeguard facility data'!BF$4:BF$312,'Safeguard facility data'!$A$4:$A$312,$A15,'Safeguard facility data'!BF$4:BF$312,"&gt;0"))-(SUMIFS('Safeguard facility data'!BM$4:BM$312,'Safeguard facility data'!$A$4:$A$312,$A15,'Safeguard facility data'!BM$4:BM$312,"&gt;0"))</f>
        <v>182978</v>
      </c>
      <c r="G15" s="67"/>
      <c r="H15" s="67"/>
      <c r="I15" s="67"/>
      <c r="J15" s="67"/>
      <c r="K15" s="67"/>
      <c r="L15" s="67"/>
      <c r="M15" s="67"/>
      <c r="N15" s="67"/>
      <c r="O15" s="67"/>
      <c r="P15" s="67"/>
      <c r="Q15" s="67"/>
    </row>
    <row r="16" spans="1:17">
      <c r="A16" s="87" t="s">
        <v>306</v>
      </c>
      <c r="B16" s="67">
        <f>(SUMIFS('Safeguard facility data'!BB$4:BB$312,'Safeguard facility data'!$A$4:$A$312,$A16,'Safeguard facility data'!BB$4:BB$312,"&gt;0"))-(SUMIFS('Safeguard facility data'!BI$4:BI$312,'Safeguard facility data'!$A$4:$A$312,$A16,'Safeguard facility data'!BI$4:BI$312,"&gt;0"))</f>
        <v>46972</v>
      </c>
      <c r="C16" s="67">
        <f>(SUMIFS('Safeguard facility data'!BC$4:BC$312,'Safeguard facility data'!$A$4:$A$312,$A16,'Safeguard facility data'!BC$4:BC$312,"&gt;0"))-(SUMIFS('Safeguard facility data'!BJ$4:BJ$312,'Safeguard facility data'!$A$4:$A$312,$A16,'Safeguard facility data'!BJ$4:BJ$312,"&gt;0"))</f>
        <v>55886</v>
      </c>
      <c r="D16" s="67">
        <f>(SUMIFS('Safeguard facility data'!BD$4:BD$312,'Safeguard facility data'!$A$4:$A$312,$A16,'Safeguard facility data'!BD$4:BD$312,"&gt;0"))-(SUMIFS('Safeguard facility data'!BK$4:BK$312,'Safeguard facility data'!$A$4:$A$312,$A16,'Safeguard facility data'!BK$4:BK$312,"&gt;0"))</f>
        <v>106590</v>
      </c>
      <c r="E16" s="67">
        <f>(SUMIFS('Safeguard facility data'!BE$4:BE$312,'Safeguard facility data'!$A$4:$A$312,$A16,'Safeguard facility data'!BE$4:BE$312,"&gt;0"))-(SUMIFS('Safeguard facility data'!BL$4:BL$312,'Safeguard facility data'!$A$4:$A$312,$A16,'Safeguard facility data'!BL$4:BL$312,"&gt;0"))</f>
        <v>96659</v>
      </c>
      <c r="F16" s="67">
        <f>(SUMIFS('Safeguard facility data'!BF$4:BF$312,'Safeguard facility data'!$A$4:$A$312,$A16,'Safeguard facility data'!BF$4:BF$312,"&gt;0"))-(SUMIFS('Safeguard facility data'!BM$4:BM$312,'Safeguard facility data'!$A$4:$A$312,$A16,'Safeguard facility data'!BM$4:BM$312,"&gt;0"))</f>
        <v>79034</v>
      </c>
      <c r="G16" s="67"/>
      <c r="H16" s="67"/>
      <c r="I16" s="67"/>
      <c r="J16" s="67"/>
      <c r="K16" s="67"/>
      <c r="L16" s="67"/>
      <c r="M16" s="67"/>
      <c r="N16" s="67"/>
      <c r="O16" s="67"/>
      <c r="P16" s="67"/>
      <c r="Q16" s="67"/>
    </row>
    <row r="17" spans="1:17">
      <c r="A17" s="87" t="s">
        <v>307</v>
      </c>
      <c r="B17" s="67">
        <f>(SUMIFS('Safeguard facility data'!BB$4:BB$312,'Safeguard facility data'!$A$4:$A$312,$A17,'Safeguard facility data'!BB$4:BB$312,"&gt;0"))-(SUMIFS('Safeguard facility data'!BI$4:BI$312,'Safeguard facility data'!$A$4:$A$312,$A17,'Safeguard facility data'!BI$4:BI$312,"&gt;0"))</f>
        <v>169898</v>
      </c>
      <c r="C17" s="67">
        <f>(SUMIFS('Safeguard facility data'!BC$4:BC$312,'Safeguard facility data'!$A$4:$A$312,$A17,'Safeguard facility data'!BC$4:BC$312,"&gt;0"))-(SUMIFS('Safeguard facility data'!BJ$4:BJ$312,'Safeguard facility data'!$A$4:$A$312,$A17,'Safeguard facility data'!BJ$4:BJ$312,"&gt;0"))</f>
        <v>169898</v>
      </c>
      <c r="D17" s="67">
        <f>(SUMIFS('Safeguard facility data'!BD$4:BD$312,'Safeguard facility data'!$A$4:$A$312,$A17,'Safeguard facility data'!BD$4:BD$312,"&gt;0"))-(SUMIFS('Safeguard facility data'!BK$4:BK$312,'Safeguard facility data'!$A$4:$A$312,$A17,'Safeguard facility data'!BK$4:BK$312,"&gt;0"))</f>
        <v>169898</v>
      </c>
      <c r="E17" s="67">
        <f>(SUMIFS('Safeguard facility data'!BE$4:BE$312,'Safeguard facility data'!$A$4:$A$312,$A17,'Safeguard facility data'!BE$4:BE$312,"&gt;0"))-(SUMIFS('Safeguard facility data'!BL$4:BL$312,'Safeguard facility data'!$A$4:$A$312,$A17,'Safeguard facility data'!BL$4:BL$312,"&gt;0"))</f>
        <v>5528</v>
      </c>
      <c r="F17" s="67">
        <f>(SUMIFS('Safeguard facility data'!BF$4:BF$312,'Safeguard facility data'!$A$4:$A$312,$A17,'Safeguard facility data'!BF$4:BF$312,"&gt;0"))-(SUMIFS('Safeguard facility data'!BM$4:BM$312,'Safeguard facility data'!$A$4:$A$312,$A17,'Safeguard facility data'!BM$4:BM$312,"&gt;0"))</f>
        <v>4286</v>
      </c>
      <c r="G17" s="67"/>
      <c r="H17" s="67"/>
      <c r="I17" s="67"/>
      <c r="J17" s="67"/>
      <c r="K17" s="67"/>
      <c r="L17" s="67"/>
      <c r="M17" s="67"/>
      <c r="N17" s="67"/>
      <c r="O17" s="67"/>
      <c r="P17" s="67"/>
      <c r="Q17" s="67"/>
    </row>
    <row r="18" spans="1:17">
      <c r="A18" s="87" t="s">
        <v>308</v>
      </c>
      <c r="B18" s="67">
        <f>(SUMIFS('Safeguard facility data'!BB$4:BB$312,'Safeguard facility data'!$A$4:$A$312,$A18,'Safeguard facility data'!BB$4:BB$312,"&gt;0"))-(SUMIFS('Safeguard facility data'!BI$4:BI$312,'Safeguard facility data'!$A$4:$A$312,$A18,'Safeguard facility data'!BI$4:BI$312,"&gt;0"))</f>
        <v>97737</v>
      </c>
      <c r="C18" s="67">
        <f>(SUMIFS('Safeguard facility data'!BC$4:BC$312,'Safeguard facility data'!$A$4:$A$312,$A18,'Safeguard facility data'!BC$4:BC$312,"&gt;0"))-(SUMIFS('Safeguard facility data'!BJ$4:BJ$312,'Safeguard facility data'!$A$4:$A$312,$A18,'Safeguard facility data'!BJ$4:BJ$312,"&gt;0"))</f>
        <v>64789</v>
      </c>
      <c r="D18" s="67">
        <f>(SUMIFS('Safeguard facility data'!BD$4:BD$312,'Safeguard facility data'!$A$4:$A$312,$A18,'Safeguard facility data'!BD$4:BD$312,"&gt;0"))-(SUMIFS('Safeguard facility data'!BK$4:BK$312,'Safeguard facility data'!$A$4:$A$312,$A18,'Safeguard facility data'!BK$4:BK$312,"&gt;0"))</f>
        <v>211460</v>
      </c>
      <c r="E18" s="67">
        <f>(SUMIFS('Safeguard facility data'!BE$4:BE$312,'Safeguard facility data'!$A$4:$A$312,$A18,'Safeguard facility data'!BE$4:BE$312,"&gt;0"))-(SUMIFS('Safeguard facility data'!BL$4:BL$312,'Safeguard facility data'!$A$4:$A$312,$A18,'Safeguard facility data'!BL$4:BL$312,"&gt;0"))</f>
        <v>211460</v>
      </c>
      <c r="F18" s="67">
        <f>(SUMIFS('Safeguard facility data'!BF$4:BF$312,'Safeguard facility data'!$A$4:$A$312,$A18,'Safeguard facility data'!BF$4:BF$312,"&gt;0"))-(SUMIFS('Safeguard facility data'!BM$4:BM$312,'Safeguard facility data'!$A$4:$A$312,$A18,'Safeguard facility data'!BM$4:BM$312,"&gt;0"))</f>
        <v>211460</v>
      </c>
      <c r="G18" s="67"/>
      <c r="H18" s="67"/>
      <c r="I18" s="67"/>
      <c r="J18" s="67"/>
      <c r="K18" s="67"/>
      <c r="L18" s="67"/>
      <c r="M18" s="67"/>
      <c r="N18" s="67"/>
      <c r="O18" s="67"/>
      <c r="P18" s="67"/>
      <c r="Q18" s="67"/>
    </row>
    <row r="19" spans="1:17">
      <c r="A19" s="87" t="s">
        <v>309</v>
      </c>
      <c r="B19" s="67">
        <f>(SUMIFS('Safeguard facility data'!BB$4:BB$312,'Safeguard facility data'!$A$4:$A$312,$A19,'Safeguard facility data'!BB$4:BB$312,"&gt;0"))-(SUMIFS('Safeguard facility data'!BI$4:BI$312,'Safeguard facility data'!$A$4:$A$312,$A19,'Safeguard facility data'!BI$4:BI$312,"&gt;0"))</f>
        <v>94786</v>
      </c>
      <c r="C19" s="67">
        <f>(SUMIFS('Safeguard facility data'!BC$4:BC$312,'Safeguard facility data'!$A$4:$A$312,$A19,'Safeguard facility data'!BC$4:BC$312,"&gt;0"))-(SUMIFS('Safeguard facility data'!BJ$4:BJ$312,'Safeguard facility data'!$A$4:$A$312,$A19,'Safeguard facility data'!BJ$4:BJ$312,"&gt;0"))</f>
        <v>92742</v>
      </c>
      <c r="D19" s="67">
        <f>(SUMIFS('Safeguard facility data'!BD$4:BD$312,'Safeguard facility data'!$A$4:$A$312,$A19,'Safeguard facility data'!BD$4:BD$312,"&gt;0"))-(SUMIFS('Safeguard facility data'!BK$4:BK$312,'Safeguard facility data'!$A$4:$A$312,$A19,'Safeguard facility data'!BK$4:BK$312,"&gt;0"))</f>
        <v>91339</v>
      </c>
      <c r="E19" s="67">
        <f>(SUMIFS('Safeguard facility data'!BE$4:BE$312,'Safeguard facility data'!$A$4:$A$312,$A19,'Safeguard facility data'!BE$4:BE$312,"&gt;0"))-(SUMIFS('Safeguard facility data'!BL$4:BL$312,'Safeguard facility data'!$A$4:$A$312,$A19,'Safeguard facility data'!BL$4:BL$312,"&gt;0"))</f>
        <v>89205</v>
      </c>
      <c r="F19" s="67">
        <f>(SUMIFS('Safeguard facility data'!BF$4:BF$312,'Safeguard facility data'!$A$4:$A$312,$A19,'Safeguard facility data'!BF$4:BF$312,"&gt;0"))-(SUMIFS('Safeguard facility data'!BM$4:BM$312,'Safeguard facility data'!$A$4:$A$312,$A19,'Safeguard facility data'!BM$4:BM$312,"&gt;0"))</f>
        <v>184481</v>
      </c>
      <c r="G19" s="67"/>
      <c r="H19" s="67"/>
      <c r="I19" s="67"/>
      <c r="J19" s="67"/>
      <c r="K19" s="67"/>
      <c r="L19" s="67"/>
      <c r="M19" s="67"/>
      <c r="N19" s="67"/>
      <c r="O19" s="67"/>
      <c r="P19" s="67"/>
      <c r="Q19" s="67"/>
    </row>
    <row r="20" spans="1:17">
      <c r="A20" s="87" t="s">
        <v>310</v>
      </c>
      <c r="B20" s="67">
        <f>(SUMIFS('Safeguard facility data'!BB$4:BB$312,'Safeguard facility data'!$A$4:$A$312,$A20,'Safeguard facility data'!BB$4:BB$312,"&gt;0"))-(SUMIFS('Safeguard facility data'!BI$4:BI$312,'Safeguard facility data'!$A$4:$A$312,$A20,'Safeguard facility data'!BI$4:BI$312,"&gt;0"))</f>
        <v>44284</v>
      </c>
      <c r="C20" s="67">
        <f>(SUMIFS('Safeguard facility data'!BC$4:BC$312,'Safeguard facility data'!$A$4:$A$312,$A20,'Safeguard facility data'!BC$4:BC$312,"&gt;0"))-(SUMIFS('Safeguard facility data'!BJ$4:BJ$312,'Safeguard facility data'!$A$4:$A$312,$A20,'Safeguard facility data'!BJ$4:BJ$312,"&gt;0"))</f>
        <v>59405</v>
      </c>
      <c r="D20" s="67">
        <f>(SUMIFS('Safeguard facility data'!BD$4:BD$312,'Safeguard facility data'!$A$4:$A$312,$A20,'Safeguard facility data'!BD$4:BD$312,"&gt;0"))-(SUMIFS('Safeguard facility data'!BK$4:BK$312,'Safeguard facility data'!$A$4:$A$312,$A20,'Safeguard facility data'!BK$4:BK$312,"&gt;0"))</f>
        <v>55074</v>
      </c>
      <c r="E20" s="67">
        <f>(SUMIFS('Safeguard facility data'!BE$4:BE$312,'Safeguard facility data'!$A$4:$A$312,$A20,'Safeguard facility data'!BE$4:BE$312,"&gt;0"))-(SUMIFS('Safeguard facility data'!BL$4:BL$312,'Safeguard facility data'!$A$4:$A$312,$A20,'Safeguard facility data'!BL$4:BL$312,"&gt;0"))</f>
        <v>56489</v>
      </c>
      <c r="F20" s="67">
        <f>(SUMIFS('Safeguard facility data'!BF$4:BF$312,'Safeguard facility data'!$A$4:$A$312,$A20,'Safeguard facility data'!BF$4:BF$312,"&gt;0"))-(SUMIFS('Safeguard facility data'!BM$4:BM$312,'Safeguard facility data'!$A$4:$A$312,$A20,'Safeguard facility data'!BM$4:BM$312,"&gt;0"))</f>
        <v>137573</v>
      </c>
      <c r="G20" s="67"/>
      <c r="H20" s="67"/>
      <c r="I20" s="67"/>
      <c r="J20" s="67"/>
      <c r="K20" s="67"/>
      <c r="L20" s="67"/>
      <c r="M20" s="67"/>
      <c r="N20" s="67"/>
      <c r="O20" s="67"/>
      <c r="P20" s="67"/>
      <c r="Q20" s="67"/>
    </row>
    <row r="21" spans="1:17">
      <c r="A21" s="87" t="s">
        <v>311</v>
      </c>
      <c r="B21" s="67">
        <f>(SUMIFS('Safeguard facility data'!BB$4:BB$312,'Safeguard facility data'!$A$4:$A$312,$A21,'Safeguard facility data'!BB$4:BB$312,"&gt;0"))-(SUMIFS('Safeguard facility data'!BI$4:BI$312,'Safeguard facility data'!$A$4:$A$312,$A21,'Safeguard facility data'!BI$4:BI$312,"&gt;0"))</f>
        <v>0</v>
      </c>
      <c r="C21" s="67">
        <f>(SUMIFS('Safeguard facility data'!BC$4:BC$312,'Safeguard facility data'!$A$4:$A$312,$A21,'Safeguard facility data'!BC$4:BC$312,"&gt;0"))-(SUMIFS('Safeguard facility data'!BJ$4:BJ$312,'Safeguard facility data'!$A$4:$A$312,$A21,'Safeguard facility data'!BJ$4:BJ$312,"&gt;0"))</f>
        <v>0</v>
      </c>
      <c r="D21" s="67">
        <f>(SUMIFS('Safeguard facility data'!BD$4:BD$312,'Safeguard facility data'!$A$4:$A$312,$A21,'Safeguard facility data'!BD$4:BD$312,"&gt;0"))-(SUMIFS('Safeguard facility data'!BK$4:BK$312,'Safeguard facility data'!$A$4:$A$312,$A21,'Safeguard facility data'!BK$4:BK$312,"&gt;0"))</f>
        <v>0</v>
      </c>
      <c r="E21" s="67">
        <f>(SUMIFS('Safeguard facility data'!BE$4:BE$312,'Safeguard facility data'!$A$4:$A$312,$A21,'Safeguard facility data'!BE$4:BE$312,"&gt;0"))-(SUMIFS('Safeguard facility data'!BL$4:BL$312,'Safeguard facility data'!$A$4:$A$312,$A21,'Safeguard facility data'!BL$4:BL$312,"&gt;0"))</f>
        <v>0</v>
      </c>
      <c r="F21" s="67">
        <f>(SUMIFS('Safeguard facility data'!BF$4:BF$312,'Safeguard facility data'!$A$4:$A$312,$A21,'Safeguard facility data'!BF$4:BF$312,"&gt;0"))-(SUMIFS('Safeguard facility data'!BM$4:BM$312,'Safeguard facility data'!$A$4:$A$312,$A21,'Safeguard facility data'!BM$4:BM$312,"&gt;0"))</f>
        <v>0</v>
      </c>
      <c r="G21" s="67"/>
      <c r="H21" s="67"/>
      <c r="I21" s="67"/>
      <c r="J21" s="67"/>
      <c r="K21" s="67"/>
      <c r="L21" s="67"/>
      <c r="M21" s="67"/>
      <c r="N21" s="67"/>
      <c r="O21" s="67"/>
      <c r="P21" s="67"/>
      <c r="Q21" s="67"/>
    </row>
    <row r="22" spans="1:17">
      <c r="A22" s="87" t="s">
        <v>312</v>
      </c>
      <c r="B22" s="67">
        <f>(SUMIFS('Safeguard facility data'!BB$4:BB$312,'Safeguard facility data'!$A$4:$A$312,$A22,'Safeguard facility data'!BB$4:BB$312,"&gt;0"))-(SUMIFS('Safeguard facility data'!BI$4:BI$312,'Safeguard facility data'!$A$4:$A$312,$A22,'Safeguard facility data'!BI$4:BI$312,"&gt;0"))</f>
        <v>283347</v>
      </c>
      <c r="C22" s="67">
        <f>(SUMIFS('Safeguard facility data'!BC$4:BC$312,'Safeguard facility data'!$A$4:$A$312,$A22,'Safeguard facility data'!BC$4:BC$312,"&gt;0"))-(SUMIFS('Safeguard facility data'!BJ$4:BJ$312,'Safeguard facility data'!$A$4:$A$312,$A22,'Safeguard facility data'!BJ$4:BJ$312,"&gt;0"))</f>
        <v>273878</v>
      </c>
      <c r="D22" s="67">
        <f>(SUMIFS('Safeguard facility data'!BD$4:BD$312,'Safeguard facility data'!$A$4:$A$312,$A22,'Safeguard facility data'!BD$4:BD$312,"&gt;0"))-(SUMIFS('Safeguard facility data'!BK$4:BK$312,'Safeguard facility data'!$A$4:$A$312,$A22,'Safeguard facility data'!BK$4:BK$312,"&gt;0"))</f>
        <v>278387</v>
      </c>
      <c r="E22" s="67">
        <f>(SUMIFS('Safeguard facility data'!BE$4:BE$312,'Safeguard facility data'!$A$4:$A$312,$A22,'Safeguard facility data'!BE$4:BE$312,"&gt;0"))-(SUMIFS('Safeguard facility data'!BL$4:BL$312,'Safeguard facility data'!$A$4:$A$312,$A22,'Safeguard facility data'!BL$4:BL$312,"&gt;0"))</f>
        <v>270310</v>
      </c>
      <c r="F22" s="67">
        <f>(SUMIFS('Safeguard facility data'!BF$4:BF$312,'Safeguard facility data'!$A$4:$A$312,$A22,'Safeguard facility data'!BF$4:BF$312,"&gt;0"))-(SUMIFS('Safeguard facility data'!BM$4:BM$312,'Safeguard facility data'!$A$4:$A$312,$A22,'Safeguard facility data'!BM$4:BM$312,"&gt;0"))</f>
        <v>24652</v>
      </c>
      <c r="G22" s="67"/>
      <c r="H22" s="67"/>
      <c r="I22" s="67"/>
      <c r="J22" s="67"/>
      <c r="K22" s="67"/>
      <c r="L22" s="67"/>
      <c r="M22" s="67"/>
      <c r="N22" s="67"/>
      <c r="O22" s="67"/>
      <c r="P22" s="67"/>
      <c r="Q22" s="67"/>
    </row>
    <row r="23" spans="1:17">
      <c r="A23" s="54" t="s">
        <v>313</v>
      </c>
      <c r="B23" s="67">
        <f>(SUMIFS('Safeguard facility data'!BB$4:BB$312,'Safeguard facility data'!$A$4:$A$312,$A23,'Safeguard facility data'!BB$4:BB$312,"&gt;0"))-(SUMIFS('Safeguard facility data'!BI$4:BI$312,'Safeguard facility data'!$A$4:$A$312,$A23,'Safeguard facility data'!BI$4:BI$312,"&gt;0"))</f>
        <v>0</v>
      </c>
      <c r="C23" s="67">
        <f>(SUMIFS('Safeguard facility data'!BC$4:BC$312,'Safeguard facility data'!$A$4:$A$312,$A23,'Safeguard facility data'!BC$4:BC$312,"&gt;0"))-(SUMIFS('Safeguard facility data'!BJ$4:BJ$312,'Safeguard facility data'!$A$4:$A$312,$A23,'Safeguard facility data'!BJ$4:BJ$312,"&gt;0"))</f>
        <v>0</v>
      </c>
      <c r="D23" s="67">
        <f>(SUMIFS('Safeguard facility data'!BD$4:BD$312,'Safeguard facility data'!$A$4:$A$312,$A23,'Safeguard facility data'!BD$4:BD$312,"&gt;0"))-(SUMIFS('Safeguard facility data'!BK$4:BK$312,'Safeguard facility data'!$A$4:$A$312,$A23,'Safeguard facility data'!BK$4:BK$312,"&gt;0"))</f>
        <v>0</v>
      </c>
      <c r="E23" s="67">
        <f>(SUMIFS('Safeguard facility data'!BE$4:BE$312,'Safeguard facility data'!$A$4:$A$312,$A23,'Safeguard facility data'!BE$4:BE$312,"&gt;0"))-(SUMIFS('Safeguard facility data'!BL$4:BL$312,'Safeguard facility data'!$A$4:$A$312,$A23,'Safeguard facility data'!BL$4:BL$312,"&gt;0"))</f>
        <v>0</v>
      </c>
      <c r="F23" s="67">
        <f>(SUMIFS('Safeguard facility data'!BF$4:BF$312,'Safeguard facility data'!$A$4:$A$312,$A23,'Safeguard facility data'!BF$4:BF$312,"&gt;0"))-(SUMIFS('Safeguard facility data'!BM$4:BM$312,'Safeguard facility data'!$A$4:$A$312,$A23,'Safeguard facility data'!BM$4:BM$312,"&gt;0"))</f>
        <v>-2549</v>
      </c>
      <c r="G23" s="67"/>
      <c r="H23" s="67"/>
      <c r="I23" s="67"/>
      <c r="J23" s="67"/>
      <c r="K23" s="67"/>
      <c r="L23" s="67"/>
      <c r="M23" s="67"/>
      <c r="N23" s="67"/>
      <c r="O23" s="67"/>
      <c r="P23" s="67"/>
      <c r="Q23" s="67"/>
    </row>
    <row r="24" spans="1:17">
      <c r="A24" s="87" t="s">
        <v>314</v>
      </c>
      <c r="B24" s="67">
        <f>(SUMIFS('Safeguard facility data'!BB$4:BB$312,'Safeguard facility data'!$A$4:$A$312,$A24,'Safeguard facility data'!BB$4:BB$312,"&gt;0"))-(SUMIFS('Safeguard facility data'!BI$4:BI$312,'Safeguard facility data'!$A$4:$A$312,$A24,'Safeguard facility data'!BI$4:BI$312,"&gt;0"))</f>
        <v>130007</v>
      </c>
      <c r="C24" s="67">
        <f>(SUMIFS('Safeguard facility data'!BC$4:BC$312,'Safeguard facility data'!$A$4:$A$312,$A24,'Safeguard facility data'!BC$4:BC$312,"&gt;0"))-(SUMIFS('Safeguard facility data'!BJ$4:BJ$312,'Safeguard facility data'!$A$4:$A$312,$A24,'Safeguard facility data'!BJ$4:BJ$312,"&gt;0"))</f>
        <v>130007</v>
      </c>
      <c r="D24" s="67">
        <f>(SUMIFS('Safeguard facility data'!BD$4:BD$312,'Safeguard facility data'!$A$4:$A$312,$A24,'Safeguard facility data'!BD$4:BD$312,"&gt;0"))-(SUMIFS('Safeguard facility data'!BK$4:BK$312,'Safeguard facility data'!$A$4:$A$312,$A24,'Safeguard facility data'!BK$4:BK$312,"&gt;0"))</f>
        <v>130007</v>
      </c>
      <c r="E24" s="67">
        <f>(SUMIFS('Safeguard facility data'!BE$4:BE$312,'Safeguard facility data'!$A$4:$A$312,$A24,'Safeguard facility data'!BE$4:BE$312,"&gt;0"))-(SUMIFS('Safeguard facility data'!BL$4:BL$312,'Safeguard facility data'!$A$4:$A$312,$A24,'Safeguard facility data'!BL$4:BL$312,"&gt;0"))</f>
        <v>130007</v>
      </c>
      <c r="F24" s="67">
        <f>(SUMIFS('Safeguard facility data'!BF$4:BF$312,'Safeguard facility data'!$A$4:$A$312,$A24,'Safeguard facility data'!BF$4:BF$312,"&gt;0"))-(SUMIFS('Safeguard facility data'!BM$4:BM$312,'Safeguard facility data'!$A$4:$A$312,$A24,'Safeguard facility data'!BM$4:BM$312,"&gt;0"))</f>
        <v>130007</v>
      </c>
      <c r="G24" s="67"/>
      <c r="H24" s="67"/>
      <c r="I24" s="67"/>
      <c r="J24" s="67"/>
      <c r="K24" s="67"/>
      <c r="L24" s="67"/>
      <c r="M24" s="67"/>
      <c r="N24" s="67"/>
      <c r="O24" s="67"/>
      <c r="P24" s="67"/>
      <c r="Q24" s="67"/>
    </row>
    <row r="25" spans="1:17">
      <c r="A25" s="87" t="s">
        <v>315</v>
      </c>
      <c r="B25" s="67">
        <f>(SUMIFS('Safeguard facility data'!BB$4:BB$312,'Safeguard facility data'!$A$4:$A$312,$A25,'Safeguard facility data'!BB$4:BB$312,"&gt;0"))-(SUMIFS('Safeguard facility data'!BI$4:BI$312,'Safeguard facility data'!$A$4:$A$312,$A25,'Safeguard facility data'!BI$4:BI$312,"&gt;0"))</f>
        <v>252425</v>
      </c>
      <c r="C25" s="67">
        <f>(SUMIFS('Safeguard facility data'!BC$4:BC$312,'Safeguard facility data'!$A$4:$A$312,$A25,'Safeguard facility data'!BC$4:BC$312,"&gt;0"))-(SUMIFS('Safeguard facility data'!BJ$4:BJ$312,'Safeguard facility data'!$A$4:$A$312,$A25,'Safeguard facility data'!BJ$4:BJ$312,"&gt;0"))</f>
        <v>115681</v>
      </c>
      <c r="D25" s="67">
        <f>(SUMIFS('Safeguard facility data'!BD$4:BD$312,'Safeguard facility data'!$A$4:$A$312,$A25,'Safeguard facility data'!BD$4:BD$312,"&gt;0"))-(SUMIFS('Safeguard facility data'!BK$4:BK$312,'Safeguard facility data'!$A$4:$A$312,$A25,'Safeguard facility data'!BK$4:BK$312,"&gt;0"))</f>
        <v>53473</v>
      </c>
      <c r="E25" s="67">
        <f>(SUMIFS('Safeguard facility data'!BE$4:BE$312,'Safeguard facility data'!$A$4:$A$312,$A25,'Safeguard facility data'!BE$4:BE$312,"&gt;0"))-(SUMIFS('Safeguard facility data'!BL$4:BL$312,'Safeguard facility data'!$A$4:$A$312,$A25,'Safeguard facility data'!BL$4:BL$312,"&gt;0"))</f>
        <v>84142</v>
      </c>
      <c r="F25" s="67">
        <f>(SUMIFS('Safeguard facility data'!BF$4:BF$312,'Safeguard facility data'!$A$4:$A$312,$A25,'Safeguard facility data'!BF$4:BF$312,"&gt;0"))-(SUMIFS('Safeguard facility data'!BM$4:BM$312,'Safeguard facility data'!$A$4:$A$312,$A25,'Safeguard facility data'!BM$4:BM$312,"&gt;0"))</f>
        <v>82073</v>
      </c>
      <c r="G25" s="67"/>
      <c r="H25" s="67"/>
      <c r="I25" s="67"/>
      <c r="J25" s="67"/>
      <c r="K25" s="67"/>
      <c r="L25" s="67"/>
      <c r="M25" s="67"/>
      <c r="N25" s="67"/>
      <c r="O25" s="67"/>
      <c r="P25" s="67"/>
      <c r="Q25" s="67"/>
    </row>
    <row r="26" spans="1:17">
      <c r="A26" s="87" t="s">
        <v>316</v>
      </c>
      <c r="B26" s="67">
        <f>(SUMIFS('Safeguard facility data'!BB$4:BB$312,'Safeguard facility data'!$A$4:$A$312,$A26,'Safeguard facility data'!BB$4:BB$312,"&gt;0"))-(SUMIFS('Safeguard facility data'!BI$4:BI$312,'Safeguard facility data'!$A$4:$A$312,$A26,'Safeguard facility data'!BI$4:BI$312,"&gt;0"))</f>
        <v>10210</v>
      </c>
      <c r="C26" s="67">
        <f>(SUMIFS('Safeguard facility data'!BC$4:BC$312,'Safeguard facility data'!$A$4:$A$312,$A26,'Safeguard facility data'!BC$4:BC$312,"&gt;0"))-(SUMIFS('Safeguard facility data'!BJ$4:BJ$312,'Safeguard facility data'!$A$4:$A$312,$A26,'Safeguard facility data'!BJ$4:BJ$312,"&gt;0"))</f>
        <v>9623</v>
      </c>
      <c r="D26" s="67">
        <f>(SUMIFS('Safeguard facility data'!BD$4:BD$312,'Safeguard facility data'!$A$4:$A$312,$A26,'Safeguard facility data'!BD$4:BD$312,"&gt;0"))-(SUMIFS('Safeguard facility data'!BK$4:BK$312,'Safeguard facility data'!$A$4:$A$312,$A26,'Safeguard facility data'!BK$4:BK$312,"&gt;0"))</f>
        <v>4097</v>
      </c>
      <c r="E26" s="67">
        <f>(SUMIFS('Safeguard facility data'!BE$4:BE$312,'Safeguard facility data'!$A$4:$A$312,$A26,'Safeguard facility data'!BE$4:BE$312,"&gt;0"))-(SUMIFS('Safeguard facility data'!BL$4:BL$312,'Safeguard facility data'!$A$4:$A$312,$A26,'Safeguard facility data'!BL$4:BL$312,"&gt;0"))</f>
        <v>1231</v>
      </c>
      <c r="F26" s="67">
        <f>(SUMIFS('Safeguard facility data'!BF$4:BF$312,'Safeguard facility data'!$A$4:$A$312,$A26,'Safeguard facility data'!BF$4:BF$312,"&gt;0"))-(SUMIFS('Safeguard facility data'!BM$4:BM$312,'Safeguard facility data'!$A$4:$A$312,$A26,'Safeguard facility data'!BM$4:BM$312,"&gt;0"))</f>
        <v>14812</v>
      </c>
      <c r="G26" s="67"/>
      <c r="H26" s="67"/>
      <c r="I26" s="67"/>
      <c r="J26" s="67"/>
      <c r="K26" s="67"/>
      <c r="L26" s="67"/>
      <c r="M26" s="67"/>
      <c r="N26" s="67"/>
      <c r="O26" s="67"/>
      <c r="P26" s="67"/>
      <c r="Q26" s="67"/>
    </row>
    <row r="27" spans="1:17">
      <c r="A27" s="87" t="s">
        <v>317</v>
      </c>
      <c r="B27" s="67">
        <f>(SUMIFS('Safeguard facility data'!BB$4:BB$312,'Safeguard facility data'!$A$4:$A$312,$A27,'Safeguard facility data'!BB$4:BB$312,"&gt;0"))-(SUMIFS('Safeguard facility data'!BI$4:BI$312,'Safeguard facility data'!$A$4:$A$312,$A27,'Safeguard facility data'!BI$4:BI$312,"&gt;0"))</f>
        <v>637115</v>
      </c>
      <c r="C27" s="67">
        <f>(SUMIFS('Safeguard facility data'!BC$4:BC$312,'Safeguard facility data'!$A$4:$A$312,$A27,'Safeguard facility data'!BC$4:BC$312,"&gt;0"))-(SUMIFS('Safeguard facility data'!BJ$4:BJ$312,'Safeguard facility data'!$A$4:$A$312,$A27,'Safeguard facility data'!BJ$4:BJ$312,"&gt;0"))</f>
        <v>1811872</v>
      </c>
      <c r="D27" s="67">
        <f>(SUMIFS('Safeguard facility data'!BD$4:BD$312,'Safeguard facility data'!$A$4:$A$312,$A27,'Safeguard facility data'!BD$4:BD$312,"&gt;0"))-(SUMIFS('Safeguard facility data'!BK$4:BK$312,'Safeguard facility data'!$A$4:$A$312,$A27,'Safeguard facility data'!BK$4:BK$312,"&gt;0"))</f>
        <v>2979450</v>
      </c>
      <c r="E27" s="67">
        <f>(SUMIFS('Safeguard facility data'!BE$4:BE$312,'Safeguard facility data'!$A$4:$A$312,$A27,'Safeguard facility data'!BE$4:BE$312,"&gt;0"))-(SUMIFS('Safeguard facility data'!BL$4:BL$312,'Safeguard facility data'!$A$4:$A$312,$A27,'Safeguard facility data'!BL$4:BL$312,"&gt;0"))</f>
        <v>3314944</v>
      </c>
      <c r="F27" s="67">
        <f>(SUMIFS('Safeguard facility data'!BF$4:BF$312,'Safeguard facility data'!$A$4:$A$312,$A27,'Safeguard facility data'!BF$4:BF$312,"&gt;0"))-(SUMIFS('Safeguard facility data'!BM$4:BM$312,'Safeguard facility data'!$A$4:$A$312,$A27,'Safeguard facility data'!BM$4:BM$312,"&gt;0"))</f>
        <v>0</v>
      </c>
      <c r="G27" s="67"/>
      <c r="H27" s="67"/>
      <c r="I27" s="67"/>
      <c r="J27" s="67"/>
      <c r="K27" s="67"/>
      <c r="L27" s="67"/>
      <c r="M27" s="67"/>
      <c r="N27" s="67"/>
      <c r="O27" s="67"/>
      <c r="P27" s="67"/>
      <c r="Q27" s="67"/>
    </row>
    <row r="28" spans="1:17">
      <c r="A28" s="87" t="s">
        <v>318</v>
      </c>
      <c r="B28" s="67">
        <f>(SUMIFS('Safeguard facility data'!BB$4:BB$312,'Safeguard facility data'!$A$4:$A$312,$A28,'Safeguard facility data'!BB$4:BB$312,"&gt;0"))-(SUMIFS('Safeguard facility data'!BI$4:BI$312,'Safeguard facility data'!$A$4:$A$312,$A28,'Safeguard facility data'!BI$4:BI$312,"&gt;0"))</f>
        <v>14483</v>
      </c>
      <c r="C28" s="67">
        <f>(SUMIFS('Safeguard facility data'!BC$4:BC$312,'Safeguard facility data'!$A$4:$A$312,$A28,'Safeguard facility data'!BC$4:BC$312,"&gt;0"))-(SUMIFS('Safeguard facility data'!BJ$4:BJ$312,'Safeguard facility data'!$A$4:$A$312,$A28,'Safeguard facility data'!BJ$4:BJ$312,"&gt;0"))</f>
        <v>17781</v>
      </c>
      <c r="D28" s="67">
        <f>(SUMIFS('Safeguard facility data'!BD$4:BD$312,'Safeguard facility data'!$A$4:$A$312,$A28,'Safeguard facility data'!BD$4:BD$312,"&gt;0"))-(SUMIFS('Safeguard facility data'!BK$4:BK$312,'Safeguard facility data'!$A$4:$A$312,$A28,'Safeguard facility data'!BK$4:BK$312,"&gt;0"))</f>
        <v>30575</v>
      </c>
      <c r="E28" s="67">
        <f>(SUMIFS('Safeguard facility data'!BE$4:BE$312,'Safeguard facility data'!$A$4:$A$312,$A28,'Safeguard facility data'!BE$4:BE$312,"&gt;0"))-(SUMIFS('Safeguard facility data'!BL$4:BL$312,'Safeguard facility data'!$A$4:$A$312,$A28,'Safeguard facility data'!BL$4:BL$312,"&gt;0"))</f>
        <v>-41909</v>
      </c>
      <c r="F28" s="67">
        <f>(SUMIFS('Safeguard facility data'!BF$4:BF$312,'Safeguard facility data'!$A$4:$A$312,$A28,'Safeguard facility data'!BF$4:BF$312,"&gt;0"))-(SUMIFS('Safeguard facility data'!BM$4:BM$312,'Safeguard facility data'!$A$4:$A$312,$A28,'Safeguard facility data'!BM$4:BM$312,"&gt;0"))</f>
        <v>83377</v>
      </c>
      <c r="G28" s="67"/>
      <c r="H28" s="67"/>
      <c r="I28" s="67"/>
      <c r="J28" s="67"/>
      <c r="K28" s="67"/>
      <c r="L28" s="67"/>
      <c r="M28" s="67"/>
      <c r="N28" s="67"/>
      <c r="O28" s="67"/>
      <c r="P28" s="67"/>
      <c r="Q28" s="67"/>
    </row>
    <row r="29" spans="1:17">
      <c r="A29" s="87" t="s">
        <v>319</v>
      </c>
      <c r="B29" s="67">
        <f>(SUMIFS('Safeguard facility data'!BB$4:BB$312,'Safeguard facility data'!$A$4:$A$312,$A29,'Safeguard facility data'!BB$4:BB$312,"&gt;0"))-(SUMIFS('Safeguard facility data'!BI$4:BI$312,'Safeguard facility data'!$A$4:$A$312,$A29,'Safeguard facility data'!BI$4:BI$312,"&gt;0"))</f>
        <v>18832</v>
      </c>
      <c r="C29" s="67">
        <f>(SUMIFS('Safeguard facility data'!BC$4:BC$312,'Safeguard facility data'!$A$4:$A$312,$A29,'Safeguard facility data'!BC$4:BC$312,"&gt;0"))-(SUMIFS('Safeguard facility data'!BJ$4:BJ$312,'Safeguard facility data'!$A$4:$A$312,$A29,'Safeguard facility data'!BJ$4:BJ$312,"&gt;0"))</f>
        <v>28873</v>
      </c>
      <c r="D29" s="67">
        <f>(SUMIFS('Safeguard facility data'!BD$4:BD$312,'Safeguard facility data'!$A$4:$A$312,$A29,'Safeguard facility data'!BD$4:BD$312,"&gt;0"))-(SUMIFS('Safeguard facility data'!BK$4:BK$312,'Safeguard facility data'!$A$4:$A$312,$A29,'Safeguard facility data'!BK$4:BK$312,"&gt;0"))</f>
        <v>140474</v>
      </c>
      <c r="E29" s="67">
        <f>(SUMIFS('Safeguard facility data'!BE$4:BE$312,'Safeguard facility data'!$A$4:$A$312,$A29,'Safeguard facility data'!BE$4:BE$312,"&gt;0"))-(SUMIFS('Safeguard facility data'!BL$4:BL$312,'Safeguard facility data'!$A$4:$A$312,$A29,'Safeguard facility data'!BL$4:BL$312,"&gt;0"))</f>
        <v>140474</v>
      </c>
      <c r="F29" s="67">
        <f>(SUMIFS('Safeguard facility data'!BF$4:BF$312,'Safeguard facility data'!$A$4:$A$312,$A29,'Safeguard facility data'!BF$4:BF$312,"&gt;0"))-(SUMIFS('Safeguard facility data'!BM$4:BM$312,'Safeguard facility data'!$A$4:$A$312,$A29,'Safeguard facility data'!BM$4:BM$312,"&gt;0"))</f>
        <v>140474</v>
      </c>
      <c r="G29" s="67"/>
      <c r="H29" s="67"/>
      <c r="I29" s="67"/>
      <c r="J29" s="67"/>
      <c r="K29" s="67"/>
      <c r="L29" s="67"/>
      <c r="M29" s="67"/>
      <c r="N29" s="67"/>
      <c r="O29" s="67"/>
      <c r="P29" s="67"/>
      <c r="Q29" s="67"/>
    </row>
    <row r="30" spans="1:17">
      <c r="A30" s="87" t="s">
        <v>320</v>
      </c>
      <c r="B30" s="67">
        <f>(SUMIFS('Safeguard facility data'!BB$4:BB$312,'Safeguard facility data'!$A$4:$A$312,$A30,'Safeguard facility data'!BB$4:BB$312,"&gt;0"))-(SUMIFS('Safeguard facility data'!BI$4:BI$312,'Safeguard facility data'!$A$4:$A$312,$A30,'Safeguard facility data'!BI$4:BI$312,"&gt;0"))</f>
        <v>128139</v>
      </c>
      <c r="C30" s="67">
        <f>(SUMIFS('Safeguard facility data'!BC$4:BC$312,'Safeguard facility data'!$A$4:$A$312,$A30,'Safeguard facility data'!BC$4:BC$312,"&gt;0"))-(SUMIFS('Safeguard facility data'!BJ$4:BJ$312,'Safeguard facility data'!$A$4:$A$312,$A30,'Safeguard facility data'!BJ$4:BJ$312,"&gt;0"))</f>
        <v>110071</v>
      </c>
      <c r="D30" s="67">
        <f>(SUMIFS('Safeguard facility data'!BD$4:BD$312,'Safeguard facility data'!$A$4:$A$312,$A30,'Safeguard facility data'!BD$4:BD$312,"&gt;0"))-(SUMIFS('Safeguard facility data'!BK$4:BK$312,'Safeguard facility data'!$A$4:$A$312,$A30,'Safeguard facility data'!BK$4:BK$312,"&gt;0"))</f>
        <v>70398</v>
      </c>
      <c r="E30" s="67">
        <f>(SUMIFS('Safeguard facility data'!BE$4:BE$312,'Safeguard facility data'!$A$4:$A$312,$A30,'Safeguard facility data'!BE$4:BE$312,"&gt;0"))-(SUMIFS('Safeguard facility data'!BL$4:BL$312,'Safeguard facility data'!$A$4:$A$312,$A30,'Safeguard facility data'!BL$4:BL$312,"&gt;0"))</f>
        <v>92180</v>
      </c>
      <c r="F30" s="67">
        <f>(SUMIFS('Safeguard facility data'!BF$4:BF$312,'Safeguard facility data'!$A$4:$A$312,$A30,'Safeguard facility data'!BF$4:BF$312,"&gt;0"))-(SUMIFS('Safeguard facility data'!BM$4:BM$312,'Safeguard facility data'!$A$4:$A$312,$A30,'Safeguard facility data'!BM$4:BM$312,"&gt;0"))</f>
        <v>171677</v>
      </c>
      <c r="G30" s="67"/>
      <c r="H30" s="67"/>
      <c r="I30" s="67"/>
      <c r="J30" s="67"/>
      <c r="K30" s="67"/>
      <c r="L30" s="67"/>
      <c r="M30" s="67"/>
      <c r="N30" s="67"/>
      <c r="O30" s="67"/>
      <c r="P30" s="67"/>
      <c r="Q30" s="67"/>
    </row>
    <row r="31" spans="1:17">
      <c r="A31" s="87" t="s">
        <v>321</v>
      </c>
      <c r="B31" s="67">
        <f>(SUMIFS('Safeguard facility data'!BB$4:BB$312,'Safeguard facility data'!$A$4:$A$312,$A31,'Safeguard facility data'!BB$4:BB$312,"&gt;0"))-(SUMIFS('Safeguard facility data'!BI$4:BI$312,'Safeguard facility data'!$A$4:$A$312,$A31,'Safeguard facility data'!BI$4:BI$312,"&gt;0"))</f>
        <v>142819</v>
      </c>
      <c r="C31" s="67">
        <f>(SUMIFS('Safeguard facility data'!BC$4:BC$312,'Safeguard facility data'!$A$4:$A$312,$A31,'Safeguard facility data'!BC$4:BC$312,"&gt;0"))-(SUMIFS('Safeguard facility data'!BJ$4:BJ$312,'Safeguard facility data'!$A$4:$A$312,$A31,'Safeguard facility data'!BJ$4:BJ$312,"&gt;0"))</f>
        <v>176146</v>
      </c>
      <c r="D31" s="67">
        <f>(SUMIFS('Safeguard facility data'!BD$4:BD$312,'Safeguard facility data'!$A$4:$A$312,$A31,'Safeguard facility data'!BD$4:BD$312,"&gt;0"))-(SUMIFS('Safeguard facility data'!BK$4:BK$312,'Safeguard facility data'!$A$4:$A$312,$A31,'Safeguard facility data'!BK$4:BK$312,"&gt;0"))</f>
        <v>131702</v>
      </c>
      <c r="E31" s="67">
        <f>(SUMIFS('Safeguard facility data'!BE$4:BE$312,'Safeguard facility data'!$A$4:$A$312,$A31,'Safeguard facility data'!BE$4:BE$312,"&gt;0"))-(SUMIFS('Safeguard facility data'!BL$4:BL$312,'Safeguard facility data'!$A$4:$A$312,$A31,'Safeguard facility data'!BL$4:BL$312,"&gt;0"))</f>
        <v>176034</v>
      </c>
      <c r="F31" s="67">
        <f>(SUMIFS('Safeguard facility data'!BF$4:BF$312,'Safeguard facility data'!$A$4:$A$312,$A31,'Safeguard facility data'!BF$4:BF$312,"&gt;0"))-(SUMIFS('Safeguard facility data'!BM$4:BM$312,'Safeguard facility data'!$A$4:$A$312,$A31,'Safeguard facility data'!BM$4:BM$312,"&gt;0"))</f>
        <v>44712</v>
      </c>
      <c r="G31" s="67"/>
      <c r="H31" s="67"/>
      <c r="I31" s="67"/>
      <c r="J31" s="67"/>
      <c r="K31" s="67"/>
      <c r="L31" s="67"/>
      <c r="M31" s="67"/>
      <c r="N31" s="67"/>
      <c r="O31" s="67"/>
      <c r="P31" s="67"/>
      <c r="Q31" s="67"/>
    </row>
    <row r="32" spans="1:17">
      <c r="A32" s="87" t="s">
        <v>322</v>
      </c>
      <c r="B32" s="67">
        <f>(SUMIFS('Safeguard facility data'!BB$4:BB$312,'Safeguard facility data'!$A$4:$A$312,$A32,'Safeguard facility data'!BB$4:BB$312,"&gt;0"))-(SUMIFS('Safeguard facility data'!BI$4:BI$312,'Safeguard facility data'!$A$4:$A$312,$A32,'Safeguard facility data'!BI$4:BI$312,"&gt;0"))</f>
        <v>229743</v>
      </c>
      <c r="C32" s="67">
        <f>(SUMIFS('Safeguard facility data'!BC$4:BC$312,'Safeguard facility data'!$A$4:$A$312,$A32,'Safeguard facility data'!BC$4:BC$312,"&gt;0"))-(SUMIFS('Safeguard facility data'!BJ$4:BJ$312,'Safeguard facility data'!$A$4:$A$312,$A32,'Safeguard facility data'!BJ$4:BJ$312,"&gt;0"))</f>
        <v>229743</v>
      </c>
      <c r="D32" s="67">
        <f>(SUMIFS('Safeguard facility data'!BD$4:BD$312,'Safeguard facility data'!$A$4:$A$312,$A32,'Safeguard facility data'!BD$4:BD$312,"&gt;0"))-(SUMIFS('Safeguard facility data'!BK$4:BK$312,'Safeguard facility data'!$A$4:$A$312,$A32,'Safeguard facility data'!BK$4:BK$312,"&gt;0"))</f>
        <v>229743</v>
      </c>
      <c r="E32" s="67">
        <f>(SUMIFS('Safeguard facility data'!BE$4:BE$312,'Safeguard facility data'!$A$4:$A$312,$A32,'Safeguard facility data'!BE$4:BE$312,"&gt;0"))-(SUMIFS('Safeguard facility data'!BL$4:BL$312,'Safeguard facility data'!$A$4:$A$312,$A32,'Safeguard facility data'!BL$4:BL$312,"&gt;0"))</f>
        <v>229743</v>
      </c>
      <c r="F32" s="67">
        <f>(SUMIFS('Safeguard facility data'!BF$4:BF$312,'Safeguard facility data'!$A$4:$A$312,$A32,'Safeguard facility data'!BF$4:BF$312,"&gt;0"))-(SUMIFS('Safeguard facility data'!BM$4:BM$312,'Safeguard facility data'!$A$4:$A$312,$A32,'Safeguard facility data'!BM$4:BM$312,"&gt;0"))</f>
        <v>229743</v>
      </c>
      <c r="G32" s="67"/>
      <c r="H32" s="67"/>
      <c r="I32" s="67"/>
      <c r="J32" s="67"/>
      <c r="K32" s="67"/>
      <c r="L32" s="67"/>
      <c r="M32" s="67"/>
      <c r="N32" s="67"/>
      <c r="O32" s="67"/>
      <c r="P32" s="67"/>
      <c r="Q32" s="67"/>
    </row>
    <row r="33" spans="1:17">
      <c r="A33" s="87" t="s">
        <v>323</v>
      </c>
      <c r="B33" s="67">
        <f>(SUMIFS('Safeguard facility data'!BB$4:BB$312,'Safeguard facility data'!$A$4:$A$312,$A33,'Safeguard facility data'!BB$4:BB$312,"&gt;0"))-(SUMIFS('Safeguard facility data'!BI$4:BI$312,'Safeguard facility data'!$A$4:$A$312,$A33,'Safeguard facility data'!BI$4:BI$312,"&gt;0"))</f>
        <v>2282</v>
      </c>
      <c r="C33" s="67">
        <f>(SUMIFS('Safeguard facility data'!BC$4:BC$312,'Safeguard facility data'!$A$4:$A$312,$A33,'Safeguard facility data'!BC$4:BC$312,"&gt;0"))-(SUMIFS('Safeguard facility data'!BJ$4:BJ$312,'Safeguard facility data'!$A$4:$A$312,$A33,'Safeguard facility data'!BJ$4:BJ$312,"&gt;0"))</f>
        <v>8967</v>
      </c>
      <c r="D33" s="67">
        <f>(SUMIFS('Safeguard facility data'!BD$4:BD$312,'Safeguard facility data'!$A$4:$A$312,$A33,'Safeguard facility data'!BD$4:BD$312,"&gt;0"))-(SUMIFS('Safeguard facility data'!BK$4:BK$312,'Safeguard facility data'!$A$4:$A$312,$A33,'Safeguard facility data'!BK$4:BK$312,"&gt;0"))</f>
        <v>21028</v>
      </c>
      <c r="E33" s="67">
        <f>(SUMIFS('Safeguard facility data'!BE$4:BE$312,'Safeguard facility data'!$A$4:$A$312,$A33,'Safeguard facility data'!BE$4:BE$312,"&gt;0"))-(SUMIFS('Safeguard facility data'!BL$4:BL$312,'Safeguard facility data'!$A$4:$A$312,$A33,'Safeguard facility data'!BL$4:BL$312,"&gt;0"))</f>
        <v>49719</v>
      </c>
      <c r="F33" s="67">
        <f>(SUMIFS('Safeguard facility data'!BF$4:BF$312,'Safeguard facility data'!$A$4:$A$312,$A33,'Safeguard facility data'!BF$4:BF$312,"&gt;0"))-(SUMIFS('Safeguard facility data'!BM$4:BM$312,'Safeguard facility data'!$A$4:$A$312,$A33,'Safeguard facility data'!BM$4:BM$312,"&gt;0"))</f>
        <v>17752</v>
      </c>
      <c r="G33" s="67"/>
      <c r="H33" s="67"/>
      <c r="I33" s="67"/>
      <c r="J33" s="67"/>
      <c r="K33" s="67"/>
      <c r="L33" s="67"/>
      <c r="M33" s="67"/>
      <c r="N33" s="67"/>
      <c r="O33" s="67"/>
      <c r="P33" s="67"/>
      <c r="Q33" s="67"/>
    </row>
    <row r="34" spans="1:17">
      <c r="A34" s="87" t="s">
        <v>324</v>
      </c>
      <c r="B34" s="67">
        <f>(SUMIFS('Safeguard facility data'!BB$4:BB$312,'Safeguard facility data'!$A$4:$A$312,$A34,'Safeguard facility data'!BB$4:BB$312,"&gt;0"))-(SUMIFS('Safeguard facility data'!BI$4:BI$312,'Safeguard facility data'!$A$4:$A$312,$A34,'Safeguard facility data'!BI$4:BI$312,"&gt;0"))</f>
        <v>56332</v>
      </c>
      <c r="C34" s="67">
        <f>(SUMIFS('Safeguard facility data'!BC$4:BC$312,'Safeguard facility data'!$A$4:$A$312,$A34,'Safeguard facility data'!BC$4:BC$312,"&gt;0"))-(SUMIFS('Safeguard facility data'!BJ$4:BJ$312,'Safeguard facility data'!$A$4:$A$312,$A34,'Safeguard facility data'!BJ$4:BJ$312,"&gt;0"))</f>
        <v>119907</v>
      </c>
      <c r="D34" s="67">
        <f>(SUMIFS('Safeguard facility data'!BD$4:BD$312,'Safeguard facility data'!$A$4:$A$312,$A34,'Safeguard facility data'!BD$4:BD$312,"&gt;0"))-(SUMIFS('Safeguard facility data'!BK$4:BK$312,'Safeguard facility data'!$A$4:$A$312,$A34,'Safeguard facility data'!BK$4:BK$312,"&gt;0"))</f>
        <v>99264</v>
      </c>
      <c r="E34" s="67">
        <f>(SUMIFS('Safeguard facility data'!BE$4:BE$312,'Safeguard facility data'!$A$4:$A$312,$A34,'Safeguard facility data'!BE$4:BE$312,"&gt;0"))-(SUMIFS('Safeguard facility data'!BL$4:BL$312,'Safeguard facility data'!$A$4:$A$312,$A34,'Safeguard facility data'!BL$4:BL$312,"&gt;0"))</f>
        <v>14110</v>
      </c>
      <c r="F34" s="67">
        <f>(SUMIFS('Safeguard facility data'!BF$4:BF$312,'Safeguard facility data'!$A$4:$A$312,$A34,'Safeguard facility data'!BF$4:BF$312,"&gt;0"))-(SUMIFS('Safeguard facility data'!BM$4:BM$312,'Safeguard facility data'!$A$4:$A$312,$A34,'Safeguard facility data'!BM$4:BM$312,"&gt;0"))</f>
        <v>20102</v>
      </c>
      <c r="G34" s="67"/>
      <c r="H34" s="67"/>
      <c r="I34" s="67"/>
      <c r="J34" s="67"/>
      <c r="K34" s="67"/>
      <c r="L34" s="67"/>
      <c r="M34" s="67"/>
      <c r="N34" s="67"/>
      <c r="O34" s="67"/>
      <c r="P34" s="67"/>
      <c r="Q34" s="67"/>
    </row>
    <row r="35" spans="1:17">
      <c r="A35" s="87" t="s">
        <v>325</v>
      </c>
      <c r="B35" s="67">
        <f>(SUMIFS('Safeguard facility data'!BB$4:BB$312,'Safeguard facility data'!$A$4:$A$312,$A35,'Safeguard facility data'!BB$4:BB$312,"&gt;0"))-(SUMIFS('Safeguard facility data'!BI$4:BI$312,'Safeguard facility data'!$A$4:$A$312,$A35,'Safeguard facility data'!BI$4:BI$312,"&gt;0"))</f>
        <v>50682</v>
      </c>
      <c r="C35" s="67">
        <f>(SUMIFS('Safeguard facility data'!BC$4:BC$312,'Safeguard facility data'!$A$4:$A$312,$A35,'Safeguard facility data'!BC$4:BC$312,"&gt;0"))-(SUMIFS('Safeguard facility data'!BJ$4:BJ$312,'Safeguard facility data'!$A$4:$A$312,$A35,'Safeguard facility data'!BJ$4:BJ$312,"&gt;0"))</f>
        <v>61056</v>
      </c>
      <c r="D35" s="67">
        <f>(SUMIFS('Safeguard facility data'!BD$4:BD$312,'Safeguard facility data'!$A$4:$A$312,$A35,'Safeguard facility data'!BD$4:BD$312,"&gt;0"))-(SUMIFS('Safeguard facility data'!BK$4:BK$312,'Safeguard facility data'!$A$4:$A$312,$A35,'Safeguard facility data'!BK$4:BK$312,"&gt;0"))</f>
        <v>64764</v>
      </c>
      <c r="E35" s="67">
        <f>(SUMIFS('Safeguard facility data'!BE$4:BE$312,'Safeguard facility data'!$A$4:$A$312,$A35,'Safeguard facility data'!BE$4:BE$312,"&gt;0"))-(SUMIFS('Safeguard facility data'!BL$4:BL$312,'Safeguard facility data'!$A$4:$A$312,$A35,'Safeguard facility data'!BL$4:BL$312,"&gt;0"))</f>
        <v>48598</v>
      </c>
      <c r="F35" s="67">
        <f>(SUMIFS('Safeguard facility data'!BF$4:BF$312,'Safeguard facility data'!$A$4:$A$312,$A35,'Safeguard facility data'!BF$4:BF$312,"&gt;0"))-(SUMIFS('Safeguard facility data'!BM$4:BM$312,'Safeguard facility data'!$A$4:$A$312,$A35,'Safeguard facility data'!BM$4:BM$312,"&gt;0"))</f>
        <v>20187</v>
      </c>
      <c r="G35" s="67"/>
      <c r="H35" s="67"/>
      <c r="I35" s="67"/>
      <c r="J35" s="67"/>
      <c r="K35" s="67"/>
      <c r="L35" s="67"/>
      <c r="M35" s="67"/>
      <c r="N35" s="67"/>
      <c r="O35" s="67"/>
      <c r="P35" s="67"/>
      <c r="Q35" s="67"/>
    </row>
    <row r="36" spans="1:17">
      <c r="A36" s="87" t="s">
        <v>326</v>
      </c>
      <c r="B36" s="67">
        <f>(SUMIFS('Safeguard facility data'!BB$4:BB$312,'Safeguard facility data'!$A$4:$A$312,$A36,'Safeguard facility data'!BB$4:BB$312,"&gt;0"))-(SUMIFS('Safeguard facility data'!BI$4:BI$312,'Safeguard facility data'!$A$4:$A$312,$A36,'Safeguard facility data'!BI$4:BI$312,"&gt;0"))</f>
        <v>9401</v>
      </c>
      <c r="C36" s="67">
        <f>(SUMIFS('Safeguard facility data'!BC$4:BC$312,'Safeguard facility data'!$A$4:$A$312,$A36,'Safeguard facility data'!BC$4:BC$312,"&gt;0"))-(SUMIFS('Safeguard facility data'!BJ$4:BJ$312,'Safeguard facility data'!$A$4:$A$312,$A36,'Safeguard facility data'!BJ$4:BJ$312,"&gt;0"))</f>
        <v>11972</v>
      </c>
      <c r="D36" s="67">
        <f>(SUMIFS('Safeguard facility data'!BD$4:BD$312,'Safeguard facility data'!$A$4:$A$312,$A36,'Safeguard facility data'!BD$4:BD$312,"&gt;0"))-(SUMIFS('Safeguard facility data'!BK$4:BK$312,'Safeguard facility data'!$A$4:$A$312,$A36,'Safeguard facility data'!BK$4:BK$312,"&gt;0"))</f>
        <v>9808</v>
      </c>
      <c r="E36" s="67">
        <f>(SUMIFS('Safeguard facility data'!BE$4:BE$312,'Safeguard facility data'!$A$4:$A$312,$A36,'Safeguard facility data'!BE$4:BE$312,"&gt;0"))-(SUMIFS('Safeguard facility data'!BL$4:BL$312,'Safeguard facility data'!$A$4:$A$312,$A36,'Safeguard facility data'!BL$4:BL$312,"&gt;0"))</f>
        <v>-7820</v>
      </c>
      <c r="F36" s="67">
        <f>(SUMIFS('Safeguard facility data'!BF$4:BF$312,'Safeguard facility data'!$A$4:$A$312,$A36,'Safeguard facility data'!BF$4:BF$312,"&gt;0"))-(SUMIFS('Safeguard facility data'!BM$4:BM$312,'Safeguard facility data'!$A$4:$A$312,$A36,'Safeguard facility data'!BM$4:BM$312,"&gt;0"))</f>
        <v>230246</v>
      </c>
      <c r="G36" s="67"/>
      <c r="H36" s="67"/>
      <c r="I36" s="67"/>
      <c r="J36" s="67"/>
      <c r="K36" s="67"/>
      <c r="L36" s="67"/>
      <c r="M36" s="67"/>
      <c r="N36" s="67"/>
      <c r="O36" s="67"/>
      <c r="P36" s="67"/>
      <c r="Q36" s="67"/>
    </row>
    <row r="37" spans="1:17">
      <c r="A37" s="87" t="s">
        <v>327</v>
      </c>
      <c r="B37" s="67">
        <f>(SUMIFS('Safeguard facility data'!BB$4:BB$312,'Safeguard facility data'!$A$4:$A$312,$A37,'Safeguard facility data'!BB$4:BB$312,"&gt;0"))-(SUMIFS('Safeguard facility data'!BI$4:BI$312,'Safeguard facility data'!$A$4:$A$312,$A37,'Safeguard facility data'!BI$4:BI$312,"&gt;0"))</f>
        <v>0</v>
      </c>
      <c r="C37" s="67">
        <f>(SUMIFS('Safeguard facility data'!BC$4:BC$312,'Safeguard facility data'!$A$4:$A$312,$A37,'Safeguard facility data'!BC$4:BC$312,"&gt;0"))-(SUMIFS('Safeguard facility data'!BJ$4:BJ$312,'Safeguard facility data'!$A$4:$A$312,$A37,'Safeguard facility data'!BJ$4:BJ$312,"&gt;0"))</f>
        <v>0</v>
      </c>
      <c r="D37" s="67">
        <f>(SUMIFS('Safeguard facility data'!BD$4:BD$312,'Safeguard facility data'!$A$4:$A$312,$A37,'Safeguard facility data'!BD$4:BD$312,"&gt;0"))-(SUMIFS('Safeguard facility data'!BK$4:BK$312,'Safeguard facility data'!$A$4:$A$312,$A37,'Safeguard facility data'!BK$4:BK$312,"&gt;0"))</f>
        <v>0</v>
      </c>
      <c r="E37" s="67">
        <f>(SUMIFS('Safeguard facility data'!BE$4:BE$312,'Safeguard facility data'!$A$4:$A$312,$A37,'Safeguard facility data'!BE$4:BE$312,"&gt;0"))-(SUMIFS('Safeguard facility data'!BL$4:BL$312,'Safeguard facility data'!$A$4:$A$312,$A37,'Safeguard facility data'!BL$4:BL$312,"&gt;0"))</f>
        <v>2352334</v>
      </c>
      <c r="F37" s="67">
        <f>(SUMIFS('Safeguard facility data'!BF$4:BF$312,'Safeguard facility data'!$A$4:$A$312,$A37,'Safeguard facility data'!BF$4:BF$312,"&gt;0"))-(SUMIFS('Safeguard facility data'!BM$4:BM$312,'Safeguard facility data'!$A$4:$A$312,$A37,'Safeguard facility data'!BM$4:BM$312,"&gt;0"))</f>
        <v>190634</v>
      </c>
      <c r="G37" s="67"/>
      <c r="H37" s="67"/>
      <c r="I37" s="67"/>
      <c r="J37" s="67"/>
      <c r="K37" s="67"/>
      <c r="L37" s="67"/>
      <c r="M37" s="67"/>
      <c r="N37" s="67"/>
      <c r="O37" s="67"/>
      <c r="P37" s="67"/>
      <c r="Q37" s="67"/>
    </row>
    <row r="38" spans="1:17">
      <c r="A38" s="54" t="s">
        <v>328</v>
      </c>
      <c r="B38" s="67">
        <f>(SUMIFS('Safeguard facility data'!BB$4:BB$312,'Safeguard facility data'!$A$4:$A$312,$A38,'Safeguard facility data'!BB$4:BB$312,"&gt;0"))-(SUMIFS('Safeguard facility data'!BI$4:BI$312,'Safeguard facility data'!$A$4:$A$312,$A38,'Safeguard facility data'!BI$4:BI$312,"&gt;0"))</f>
        <v>232164</v>
      </c>
      <c r="C38" s="67">
        <f>(SUMIFS('Safeguard facility data'!BC$4:BC$312,'Safeguard facility data'!$A$4:$A$312,$A38,'Safeguard facility data'!BC$4:BC$312,"&gt;0"))-(SUMIFS('Safeguard facility data'!BJ$4:BJ$312,'Safeguard facility data'!$A$4:$A$312,$A38,'Safeguard facility data'!BJ$4:BJ$312,"&gt;0"))</f>
        <v>136296</v>
      </c>
      <c r="D38" s="67">
        <f>(SUMIFS('Safeguard facility data'!BD$4:BD$312,'Safeguard facility data'!$A$4:$A$312,$A38,'Safeguard facility data'!BD$4:BD$312,"&gt;0"))-(SUMIFS('Safeguard facility data'!BK$4:BK$312,'Safeguard facility data'!$A$4:$A$312,$A38,'Safeguard facility data'!BK$4:BK$312,"&gt;0"))</f>
        <v>22804</v>
      </c>
      <c r="E38" s="67">
        <f>(SUMIFS('Safeguard facility data'!BE$4:BE$312,'Safeguard facility data'!$A$4:$A$312,$A38,'Safeguard facility data'!BE$4:BE$312,"&gt;0"))-(SUMIFS('Safeguard facility data'!BL$4:BL$312,'Safeguard facility data'!$A$4:$A$312,$A38,'Safeguard facility data'!BL$4:BL$312,"&gt;0"))</f>
        <v>0</v>
      </c>
      <c r="F38" s="67">
        <f>(SUMIFS('Safeguard facility data'!BF$4:BF$312,'Safeguard facility data'!$A$4:$A$312,$A38,'Safeguard facility data'!BF$4:BF$312,"&gt;0"))-(SUMIFS('Safeguard facility data'!BM$4:BM$312,'Safeguard facility data'!$A$4:$A$312,$A38,'Safeguard facility data'!BM$4:BM$312,"&gt;0"))</f>
        <v>0</v>
      </c>
      <c r="G38" s="67"/>
      <c r="H38" s="67"/>
      <c r="I38" s="67"/>
      <c r="J38" s="67"/>
      <c r="K38" s="67"/>
      <c r="L38" s="67"/>
      <c r="M38" s="67"/>
      <c r="N38" s="67"/>
      <c r="O38" s="67"/>
      <c r="P38" s="67"/>
      <c r="Q38" s="67"/>
    </row>
    <row r="39" spans="1:17">
      <c r="A39" s="87" t="s">
        <v>329</v>
      </c>
      <c r="B39" s="67">
        <f>(SUMIFS('Safeguard facility data'!BB$4:BB$312,'Safeguard facility data'!$A$4:$A$312,$A39,'Safeguard facility data'!BB$4:BB$312,"&gt;0"))-(SUMIFS('Safeguard facility data'!BI$4:BI$312,'Safeguard facility data'!$A$4:$A$312,$A39,'Safeguard facility data'!BI$4:BI$312,"&gt;0"))</f>
        <v>226806</v>
      </c>
      <c r="C39" s="67">
        <f>(SUMIFS('Safeguard facility data'!BC$4:BC$312,'Safeguard facility data'!$A$4:$A$312,$A39,'Safeguard facility data'!BC$4:BC$312,"&gt;0"))-(SUMIFS('Safeguard facility data'!BJ$4:BJ$312,'Safeguard facility data'!$A$4:$A$312,$A39,'Safeguard facility data'!BJ$4:BJ$312,"&gt;0"))</f>
        <v>226806</v>
      </c>
      <c r="D39" s="67">
        <f>(SUMIFS('Safeguard facility data'!BD$4:BD$312,'Safeguard facility data'!$A$4:$A$312,$A39,'Safeguard facility data'!BD$4:BD$312,"&gt;0"))-(SUMIFS('Safeguard facility data'!BK$4:BK$312,'Safeguard facility data'!$A$4:$A$312,$A39,'Safeguard facility data'!BK$4:BK$312,"&gt;0"))</f>
        <v>226806</v>
      </c>
      <c r="E39" s="67">
        <f>(SUMIFS('Safeguard facility data'!BE$4:BE$312,'Safeguard facility data'!$A$4:$A$312,$A39,'Safeguard facility data'!BE$4:BE$312,"&gt;0"))-(SUMIFS('Safeguard facility data'!BL$4:BL$312,'Safeguard facility data'!$A$4:$A$312,$A39,'Safeguard facility data'!BL$4:BL$312,"&gt;0"))</f>
        <v>226806</v>
      </c>
      <c r="F39" s="67">
        <f>(SUMIFS('Safeguard facility data'!BF$4:BF$312,'Safeguard facility data'!$A$4:$A$312,$A39,'Safeguard facility data'!BF$4:BF$312,"&gt;0"))-(SUMIFS('Safeguard facility data'!BM$4:BM$312,'Safeguard facility data'!$A$4:$A$312,$A39,'Safeguard facility data'!BM$4:BM$312,"&gt;0"))</f>
        <v>226806</v>
      </c>
      <c r="G39" s="67"/>
      <c r="H39" s="67"/>
      <c r="I39" s="67"/>
      <c r="J39" s="67"/>
      <c r="K39" s="67"/>
      <c r="L39" s="67"/>
      <c r="M39" s="67"/>
      <c r="N39" s="67"/>
      <c r="O39" s="67"/>
      <c r="P39" s="67"/>
      <c r="Q39" s="67"/>
    </row>
    <row r="40" spans="1:17">
      <c r="A40" s="87" t="s">
        <v>330</v>
      </c>
      <c r="B40" s="67">
        <f>(SUMIFS('Safeguard facility data'!BB$4:BB$312,'Safeguard facility data'!$A$4:$A$312,$A40,'Safeguard facility data'!BB$4:BB$312,"&gt;0"))-(SUMIFS('Safeguard facility data'!BI$4:BI$312,'Safeguard facility data'!$A$4:$A$312,$A40,'Safeguard facility data'!BI$4:BI$312,"&gt;0"))</f>
        <v>0</v>
      </c>
      <c r="C40" s="67">
        <f>(SUMIFS('Safeguard facility data'!BC$4:BC$312,'Safeguard facility data'!$A$4:$A$312,$A40,'Safeguard facility data'!BC$4:BC$312,"&gt;0"))-(SUMIFS('Safeguard facility data'!BJ$4:BJ$312,'Safeguard facility data'!$A$4:$A$312,$A40,'Safeguard facility data'!BJ$4:BJ$312,"&gt;0"))</f>
        <v>249597</v>
      </c>
      <c r="D40" s="67">
        <f>(SUMIFS('Safeguard facility data'!BD$4:BD$312,'Safeguard facility data'!$A$4:$A$312,$A40,'Safeguard facility data'!BD$4:BD$312,"&gt;0"))-(SUMIFS('Safeguard facility data'!BK$4:BK$312,'Safeguard facility data'!$A$4:$A$312,$A40,'Safeguard facility data'!BK$4:BK$312,"&gt;0"))</f>
        <v>157780</v>
      </c>
      <c r="E40" s="67">
        <f>(SUMIFS('Safeguard facility data'!BE$4:BE$312,'Safeguard facility data'!$A$4:$A$312,$A40,'Safeguard facility data'!BE$4:BE$312,"&gt;0"))-(SUMIFS('Safeguard facility data'!BL$4:BL$312,'Safeguard facility data'!$A$4:$A$312,$A40,'Safeguard facility data'!BL$4:BL$312,"&gt;0"))</f>
        <v>132488</v>
      </c>
      <c r="F40" s="67">
        <f>(SUMIFS('Safeguard facility data'!BF$4:BF$312,'Safeguard facility data'!$A$4:$A$312,$A40,'Safeguard facility data'!BF$4:BF$312,"&gt;0"))-(SUMIFS('Safeguard facility data'!BM$4:BM$312,'Safeguard facility data'!$A$4:$A$312,$A40,'Safeguard facility data'!BM$4:BM$312,"&gt;0"))</f>
        <v>123567</v>
      </c>
      <c r="G40" s="67"/>
      <c r="H40" s="67"/>
      <c r="I40" s="67"/>
      <c r="J40" s="67"/>
      <c r="K40" s="67"/>
      <c r="L40" s="67"/>
      <c r="M40" s="67"/>
      <c r="N40" s="67"/>
      <c r="O40" s="67"/>
      <c r="P40" s="67"/>
      <c r="Q40" s="67"/>
    </row>
    <row r="41" spans="1:17">
      <c r="A41" s="87" t="s">
        <v>331</v>
      </c>
      <c r="B41" s="67">
        <f>(SUMIFS('Safeguard facility data'!BB$4:BB$312,'Safeguard facility data'!$A$4:$A$312,$A41,'Safeguard facility data'!BB$4:BB$312,"&gt;0"))-(SUMIFS('Safeguard facility data'!BI$4:BI$312,'Safeguard facility data'!$A$4:$A$312,$A41,'Safeguard facility data'!BI$4:BI$312,"&gt;0"))</f>
        <v>112476</v>
      </c>
      <c r="C41" s="67">
        <f>(SUMIFS('Safeguard facility data'!BC$4:BC$312,'Safeguard facility data'!$A$4:$A$312,$A41,'Safeguard facility data'!BC$4:BC$312,"&gt;0"))-(SUMIFS('Safeguard facility data'!BJ$4:BJ$312,'Safeguard facility data'!$A$4:$A$312,$A41,'Safeguard facility data'!BJ$4:BJ$312,"&gt;0"))</f>
        <v>112476</v>
      </c>
      <c r="D41" s="67">
        <f>(SUMIFS('Safeguard facility data'!BD$4:BD$312,'Safeguard facility data'!$A$4:$A$312,$A41,'Safeguard facility data'!BD$4:BD$312,"&gt;0"))-(SUMIFS('Safeguard facility data'!BK$4:BK$312,'Safeguard facility data'!$A$4:$A$312,$A41,'Safeguard facility data'!BK$4:BK$312,"&gt;0"))</f>
        <v>112476</v>
      </c>
      <c r="E41" s="67">
        <f>(SUMIFS('Safeguard facility data'!BE$4:BE$312,'Safeguard facility data'!$A$4:$A$312,$A41,'Safeguard facility data'!BE$4:BE$312,"&gt;0"))-(SUMIFS('Safeguard facility data'!BL$4:BL$312,'Safeguard facility data'!$A$4:$A$312,$A41,'Safeguard facility data'!BL$4:BL$312,"&gt;0"))</f>
        <v>112476</v>
      </c>
      <c r="F41" s="67">
        <f>(SUMIFS('Safeguard facility data'!BF$4:BF$312,'Safeguard facility data'!$A$4:$A$312,$A41,'Safeguard facility data'!BF$4:BF$312,"&gt;0"))-(SUMIFS('Safeguard facility data'!BM$4:BM$312,'Safeguard facility data'!$A$4:$A$312,$A41,'Safeguard facility data'!BM$4:BM$312,"&gt;0"))</f>
        <v>112476</v>
      </c>
      <c r="G41" s="67"/>
      <c r="H41" s="67"/>
      <c r="I41" s="67"/>
      <c r="J41" s="67"/>
      <c r="K41" s="67"/>
      <c r="L41" s="67"/>
      <c r="M41" s="67"/>
      <c r="N41" s="67"/>
      <c r="O41" s="67"/>
      <c r="P41" s="67"/>
      <c r="Q41" s="67"/>
    </row>
    <row r="42" spans="1:17">
      <c r="A42" s="87" t="s">
        <v>332</v>
      </c>
      <c r="B42" s="67">
        <f>(SUMIFS('Safeguard facility data'!BB$4:BB$312,'Safeguard facility data'!$A$4:$A$312,$A42,'Safeguard facility data'!BB$4:BB$312,"&gt;0"))-(SUMIFS('Safeguard facility data'!BI$4:BI$312,'Safeguard facility data'!$A$4:$A$312,$A42,'Safeguard facility data'!BI$4:BI$312,"&gt;0"))</f>
        <v>143326</v>
      </c>
      <c r="C42" s="67">
        <f>(SUMIFS('Safeguard facility data'!BC$4:BC$312,'Safeguard facility data'!$A$4:$A$312,$A42,'Safeguard facility data'!BC$4:BC$312,"&gt;0"))-(SUMIFS('Safeguard facility data'!BJ$4:BJ$312,'Safeguard facility data'!$A$4:$A$312,$A42,'Safeguard facility data'!BJ$4:BJ$312,"&gt;0"))</f>
        <v>143326</v>
      </c>
      <c r="D42" s="67">
        <f>(SUMIFS('Safeguard facility data'!BD$4:BD$312,'Safeguard facility data'!$A$4:$A$312,$A42,'Safeguard facility data'!BD$4:BD$312,"&gt;0"))-(SUMIFS('Safeguard facility data'!BK$4:BK$312,'Safeguard facility data'!$A$4:$A$312,$A42,'Safeguard facility data'!BK$4:BK$312,"&gt;0"))</f>
        <v>16241</v>
      </c>
      <c r="E42" s="67">
        <f>(SUMIFS('Safeguard facility data'!BE$4:BE$312,'Safeguard facility data'!$A$4:$A$312,$A42,'Safeguard facility data'!BE$4:BE$312,"&gt;0"))-(SUMIFS('Safeguard facility data'!BL$4:BL$312,'Safeguard facility data'!$A$4:$A$312,$A42,'Safeguard facility data'!BL$4:BL$312,"&gt;0"))</f>
        <v>13617</v>
      </c>
      <c r="F42" s="67">
        <f>(SUMIFS('Safeguard facility data'!BF$4:BF$312,'Safeguard facility data'!$A$4:$A$312,$A42,'Safeguard facility data'!BF$4:BF$312,"&gt;0"))-(SUMIFS('Safeguard facility data'!BM$4:BM$312,'Safeguard facility data'!$A$4:$A$312,$A42,'Safeguard facility data'!BM$4:BM$312,"&gt;0"))</f>
        <v>19289</v>
      </c>
      <c r="G42" s="67"/>
      <c r="H42" s="67"/>
      <c r="I42" s="67"/>
      <c r="J42" s="67"/>
      <c r="K42" s="67"/>
      <c r="L42" s="67"/>
      <c r="M42" s="67"/>
      <c r="N42" s="67"/>
      <c r="O42" s="67"/>
      <c r="P42" s="67"/>
      <c r="Q42" s="67"/>
    </row>
    <row r="43" spans="1:17">
      <c r="A43" s="87" t="s">
        <v>333</v>
      </c>
      <c r="B43" s="67">
        <f>(SUMIFS('Safeguard facility data'!BB$4:BB$312,'Safeguard facility data'!$A$4:$A$312,$A43,'Safeguard facility data'!BB$4:BB$312,"&gt;0"))-(SUMIFS('Safeguard facility data'!BI$4:BI$312,'Safeguard facility data'!$A$4:$A$312,$A43,'Safeguard facility data'!BI$4:BI$312,"&gt;0"))</f>
        <v>-133104</v>
      </c>
      <c r="C43" s="67">
        <f>(SUMIFS('Safeguard facility data'!BC$4:BC$312,'Safeguard facility data'!$A$4:$A$312,$A43,'Safeguard facility data'!BC$4:BC$312,"&gt;0"))-(SUMIFS('Safeguard facility data'!BJ$4:BJ$312,'Safeguard facility data'!$A$4:$A$312,$A43,'Safeguard facility data'!BJ$4:BJ$312,"&gt;0"))</f>
        <v>-169010</v>
      </c>
      <c r="D43" s="67">
        <f>(SUMIFS('Safeguard facility data'!BD$4:BD$312,'Safeguard facility data'!$A$4:$A$312,$A43,'Safeguard facility data'!BD$4:BD$312,"&gt;0"))-(SUMIFS('Safeguard facility data'!BK$4:BK$312,'Safeguard facility data'!$A$4:$A$312,$A43,'Safeguard facility data'!BK$4:BK$312,"&gt;0"))</f>
        <v>-162436</v>
      </c>
      <c r="E43" s="67">
        <f>(SUMIFS('Safeguard facility data'!BE$4:BE$312,'Safeguard facility data'!$A$4:$A$312,$A43,'Safeguard facility data'!BE$4:BE$312,"&gt;0"))-(SUMIFS('Safeguard facility data'!BL$4:BL$312,'Safeguard facility data'!$A$4:$A$312,$A43,'Safeguard facility data'!BL$4:BL$312,"&gt;0"))</f>
        <v>-509691</v>
      </c>
      <c r="F43" s="67">
        <f>(SUMIFS('Safeguard facility data'!BF$4:BF$312,'Safeguard facility data'!$A$4:$A$312,$A43,'Safeguard facility data'!BF$4:BF$312,"&gt;0"))-(SUMIFS('Safeguard facility data'!BM$4:BM$312,'Safeguard facility data'!$A$4:$A$312,$A43,'Safeguard facility data'!BM$4:BM$312,"&gt;0"))</f>
        <v>1298894</v>
      </c>
      <c r="G43" s="67"/>
      <c r="H43" s="67"/>
      <c r="I43" s="67"/>
      <c r="J43" s="67"/>
      <c r="K43" s="67"/>
      <c r="L43" s="67"/>
      <c r="M43" s="67"/>
      <c r="N43" s="67"/>
      <c r="O43" s="67"/>
      <c r="P43" s="67"/>
      <c r="Q43" s="67"/>
    </row>
    <row r="44" spans="1:17">
      <c r="A44" s="87" t="s">
        <v>334</v>
      </c>
      <c r="B44" s="67">
        <f>(SUMIFS('Safeguard facility data'!BB$4:BB$312,'Safeguard facility data'!$A$4:$A$312,$A44,'Safeguard facility data'!BB$4:BB$312,"&gt;0"))-(SUMIFS('Safeguard facility data'!BI$4:BI$312,'Safeguard facility data'!$A$4:$A$312,$A44,'Safeguard facility data'!BI$4:BI$312,"&gt;0"))</f>
        <v>109955</v>
      </c>
      <c r="C44" s="67">
        <f>(SUMIFS('Safeguard facility data'!BC$4:BC$312,'Safeguard facility data'!$A$4:$A$312,$A44,'Safeguard facility data'!BC$4:BC$312,"&gt;0"))-(SUMIFS('Safeguard facility data'!BJ$4:BJ$312,'Safeguard facility data'!$A$4:$A$312,$A44,'Safeguard facility data'!BJ$4:BJ$312,"&gt;0"))</f>
        <v>109955</v>
      </c>
      <c r="D44" s="67">
        <f>(SUMIFS('Safeguard facility data'!BD$4:BD$312,'Safeguard facility data'!$A$4:$A$312,$A44,'Safeguard facility data'!BD$4:BD$312,"&gt;0"))-(SUMIFS('Safeguard facility data'!BK$4:BK$312,'Safeguard facility data'!$A$4:$A$312,$A44,'Safeguard facility data'!BK$4:BK$312,"&gt;0"))</f>
        <v>109955</v>
      </c>
      <c r="E44" s="67">
        <f>(SUMIFS('Safeguard facility data'!BE$4:BE$312,'Safeguard facility data'!$A$4:$A$312,$A44,'Safeguard facility data'!BE$4:BE$312,"&gt;0"))-(SUMIFS('Safeguard facility data'!BL$4:BL$312,'Safeguard facility data'!$A$4:$A$312,$A44,'Safeguard facility data'!BL$4:BL$312,"&gt;0"))</f>
        <v>109955</v>
      </c>
      <c r="F44" s="67">
        <f>(SUMIFS('Safeguard facility data'!BF$4:BF$312,'Safeguard facility data'!$A$4:$A$312,$A44,'Safeguard facility data'!BF$4:BF$312,"&gt;0"))-(SUMIFS('Safeguard facility data'!BM$4:BM$312,'Safeguard facility data'!$A$4:$A$312,$A44,'Safeguard facility data'!BM$4:BM$312,"&gt;0"))</f>
        <v>109955</v>
      </c>
      <c r="G44" s="67"/>
      <c r="H44" s="67"/>
      <c r="I44" s="67"/>
      <c r="J44" s="67"/>
      <c r="K44" s="67"/>
      <c r="L44" s="67"/>
      <c r="M44" s="67"/>
      <c r="N44" s="67"/>
      <c r="O44" s="67"/>
      <c r="P44" s="67"/>
      <c r="Q44" s="67"/>
    </row>
    <row r="45" spans="1:17">
      <c r="A45" s="87" t="s">
        <v>335</v>
      </c>
      <c r="B45" s="67">
        <f>(SUMIFS('Safeguard facility data'!BB$4:BB$312,'Safeguard facility data'!$A$4:$A$312,$A45,'Safeguard facility data'!BB$4:BB$312,"&gt;0"))-(SUMIFS('Safeguard facility data'!BI$4:BI$312,'Safeguard facility data'!$A$4:$A$312,$A45,'Safeguard facility data'!BI$4:BI$312,"&gt;0"))</f>
        <v>568927</v>
      </c>
      <c r="C45" s="67">
        <f>(SUMIFS('Safeguard facility data'!BC$4:BC$312,'Safeguard facility data'!$A$4:$A$312,$A45,'Safeguard facility data'!BC$4:BC$312,"&gt;0"))-(SUMIFS('Safeguard facility data'!BJ$4:BJ$312,'Safeguard facility data'!$A$4:$A$312,$A45,'Safeguard facility data'!BJ$4:BJ$312,"&gt;0"))</f>
        <v>584862</v>
      </c>
      <c r="D45" s="67">
        <f>(SUMIFS('Safeguard facility data'!BD$4:BD$312,'Safeguard facility data'!$A$4:$A$312,$A45,'Safeguard facility data'!BD$4:BD$312,"&gt;0"))-(SUMIFS('Safeguard facility data'!BK$4:BK$312,'Safeguard facility data'!$A$4:$A$312,$A45,'Safeguard facility data'!BK$4:BK$312,"&gt;0"))</f>
        <v>361500</v>
      </c>
      <c r="E45" s="67">
        <f>(SUMIFS('Safeguard facility data'!BE$4:BE$312,'Safeguard facility data'!$A$4:$A$312,$A45,'Safeguard facility data'!BE$4:BE$312,"&gt;0"))-(SUMIFS('Safeguard facility data'!BL$4:BL$312,'Safeguard facility data'!$A$4:$A$312,$A45,'Safeguard facility data'!BL$4:BL$312,"&gt;0"))</f>
        <v>113654</v>
      </c>
      <c r="F45" s="67">
        <f>(SUMIFS('Safeguard facility data'!BF$4:BF$312,'Safeguard facility data'!$A$4:$A$312,$A45,'Safeguard facility data'!BF$4:BF$312,"&gt;0"))-(SUMIFS('Safeguard facility data'!BM$4:BM$312,'Safeguard facility data'!$A$4:$A$312,$A45,'Safeguard facility data'!BM$4:BM$312,"&gt;0"))</f>
        <v>141462</v>
      </c>
      <c r="G45" s="67"/>
      <c r="H45" s="67"/>
      <c r="I45" s="67"/>
      <c r="J45" s="67"/>
      <c r="K45" s="67"/>
      <c r="L45" s="67"/>
      <c r="M45" s="67"/>
      <c r="N45" s="67"/>
      <c r="O45" s="67"/>
      <c r="P45" s="67"/>
      <c r="Q45" s="67"/>
    </row>
    <row r="46" spans="1:17">
      <c r="A46" s="54" t="s">
        <v>336</v>
      </c>
      <c r="B46" s="67">
        <f>(SUMIFS('Safeguard facility data'!BB$4:BB$312,'Safeguard facility data'!$A$4:$A$312,$A46,'Safeguard facility data'!BB$4:BB$312,"&gt;0"))-(SUMIFS('Safeguard facility data'!BI$4:BI$312,'Safeguard facility data'!$A$4:$A$312,$A46,'Safeguard facility data'!BI$4:BI$312,"&gt;0"))</f>
        <v>0</v>
      </c>
      <c r="C46" s="67">
        <f>(SUMIFS('Safeguard facility data'!BC$4:BC$312,'Safeguard facility data'!$A$4:$A$312,$A46,'Safeguard facility data'!BC$4:BC$312,"&gt;0"))-(SUMIFS('Safeguard facility data'!BJ$4:BJ$312,'Safeguard facility data'!$A$4:$A$312,$A46,'Safeguard facility data'!BJ$4:BJ$312,"&gt;0"))</f>
        <v>0</v>
      </c>
      <c r="D46" s="67">
        <f>(SUMIFS('Safeguard facility data'!BD$4:BD$312,'Safeguard facility data'!$A$4:$A$312,$A46,'Safeguard facility data'!BD$4:BD$312,"&gt;0"))-(SUMIFS('Safeguard facility data'!BK$4:BK$312,'Safeguard facility data'!$A$4:$A$312,$A46,'Safeguard facility data'!BK$4:BK$312,"&gt;0"))</f>
        <v>0</v>
      </c>
      <c r="E46" s="67">
        <f>(SUMIFS('Safeguard facility data'!BE$4:BE$312,'Safeguard facility data'!$A$4:$A$312,$A46,'Safeguard facility data'!BE$4:BE$312,"&gt;0"))-(SUMIFS('Safeguard facility data'!BL$4:BL$312,'Safeguard facility data'!$A$4:$A$312,$A46,'Safeguard facility data'!BL$4:BL$312,"&gt;0"))</f>
        <v>0</v>
      </c>
      <c r="F46" s="67">
        <f>(SUMIFS('Safeguard facility data'!BF$4:BF$312,'Safeguard facility data'!$A$4:$A$312,$A46,'Safeguard facility data'!BF$4:BF$312,"&gt;0"))-(SUMIFS('Safeguard facility data'!BM$4:BM$312,'Safeguard facility data'!$A$4:$A$312,$A46,'Safeguard facility data'!BM$4:BM$312,"&gt;0"))</f>
        <v>0</v>
      </c>
      <c r="G46" s="67"/>
      <c r="H46" s="67"/>
      <c r="I46" s="67"/>
      <c r="J46" s="67"/>
      <c r="K46" s="67"/>
      <c r="L46" s="67"/>
      <c r="M46" s="67"/>
      <c r="N46" s="67"/>
      <c r="O46" s="67"/>
      <c r="P46" s="67"/>
      <c r="Q46" s="67"/>
    </row>
    <row r="47" spans="1:17">
      <c r="A47" s="87" t="s">
        <v>337</v>
      </c>
      <c r="B47" s="67">
        <f>(SUMIFS('Safeguard facility data'!BB$4:BB$312,'Safeguard facility data'!$A$4:$A$312,$A47,'Safeguard facility data'!BB$4:BB$312,"&gt;0"))-(SUMIFS('Safeguard facility data'!BI$4:BI$312,'Safeguard facility data'!$A$4:$A$312,$A47,'Safeguard facility data'!BI$4:BI$312,"&gt;0"))</f>
        <v>0</v>
      </c>
      <c r="C47" s="67">
        <f>(SUMIFS('Safeguard facility data'!BC$4:BC$312,'Safeguard facility data'!$A$4:$A$312,$A47,'Safeguard facility data'!BC$4:BC$312,"&gt;0"))-(SUMIFS('Safeguard facility data'!BJ$4:BJ$312,'Safeguard facility data'!$A$4:$A$312,$A47,'Safeguard facility data'!BJ$4:BJ$312,"&gt;0"))</f>
        <v>0</v>
      </c>
      <c r="D47" s="67">
        <f>(SUMIFS('Safeguard facility data'!BD$4:BD$312,'Safeguard facility data'!$A$4:$A$312,$A47,'Safeguard facility data'!BD$4:BD$312,"&gt;0"))-(SUMIFS('Safeguard facility data'!BK$4:BK$312,'Safeguard facility data'!$A$4:$A$312,$A47,'Safeguard facility data'!BK$4:BK$312,"&gt;0"))</f>
        <v>0</v>
      </c>
      <c r="E47" s="67">
        <f>(SUMIFS('Safeguard facility data'!BE$4:BE$312,'Safeguard facility data'!$A$4:$A$312,$A47,'Safeguard facility data'!BE$4:BE$312,"&gt;0"))-(SUMIFS('Safeguard facility data'!BL$4:BL$312,'Safeguard facility data'!$A$4:$A$312,$A47,'Safeguard facility data'!BL$4:BL$312,"&gt;0"))</f>
        <v>0</v>
      </c>
      <c r="F47" s="67">
        <f>(SUMIFS('Safeguard facility data'!BF$4:BF$312,'Safeguard facility data'!$A$4:$A$312,$A47,'Safeguard facility data'!BF$4:BF$312,"&gt;0"))-(SUMIFS('Safeguard facility data'!BM$4:BM$312,'Safeguard facility data'!$A$4:$A$312,$A47,'Safeguard facility data'!BM$4:BM$312,"&gt;0"))</f>
        <v>72</v>
      </c>
      <c r="G47" s="67"/>
      <c r="H47" s="67"/>
      <c r="I47" s="67"/>
      <c r="J47" s="67"/>
      <c r="K47" s="67"/>
      <c r="L47" s="67"/>
      <c r="M47" s="67"/>
      <c r="N47" s="67"/>
      <c r="O47" s="67"/>
      <c r="P47" s="67"/>
      <c r="Q47" s="67"/>
    </row>
    <row r="48" spans="1:17">
      <c r="A48" s="87" t="s">
        <v>338</v>
      </c>
      <c r="B48" s="67">
        <f>(SUMIFS('Safeguard facility data'!BB$4:BB$312,'Safeguard facility data'!$A$4:$A$312,$A48,'Safeguard facility data'!BB$4:BB$312,"&gt;0"))-(SUMIFS('Safeguard facility data'!BI$4:BI$312,'Safeguard facility data'!$A$4:$A$312,$A48,'Safeguard facility data'!BI$4:BI$312,"&gt;0"))</f>
        <v>56905</v>
      </c>
      <c r="C48" s="67">
        <f>(SUMIFS('Safeguard facility data'!BC$4:BC$312,'Safeguard facility data'!$A$4:$A$312,$A48,'Safeguard facility data'!BC$4:BC$312,"&gt;0"))-(SUMIFS('Safeguard facility data'!BJ$4:BJ$312,'Safeguard facility data'!$A$4:$A$312,$A48,'Safeguard facility data'!BJ$4:BJ$312,"&gt;0"))</f>
        <v>0</v>
      </c>
      <c r="D48" s="67">
        <f>(SUMIFS('Safeguard facility data'!BD$4:BD$312,'Safeguard facility data'!$A$4:$A$312,$A48,'Safeguard facility data'!BD$4:BD$312,"&gt;0"))-(SUMIFS('Safeguard facility data'!BK$4:BK$312,'Safeguard facility data'!$A$4:$A$312,$A48,'Safeguard facility data'!BK$4:BK$312,"&gt;0"))</f>
        <v>61823</v>
      </c>
      <c r="E48" s="67">
        <f>(SUMIFS('Safeguard facility data'!BE$4:BE$312,'Safeguard facility data'!$A$4:$A$312,$A48,'Safeguard facility data'!BE$4:BE$312,"&gt;0"))-(SUMIFS('Safeguard facility data'!BL$4:BL$312,'Safeguard facility data'!$A$4:$A$312,$A48,'Safeguard facility data'!BL$4:BL$312,"&gt;0"))</f>
        <v>3775</v>
      </c>
      <c r="F48" s="67">
        <f>(SUMIFS('Safeguard facility data'!BF$4:BF$312,'Safeguard facility data'!$A$4:$A$312,$A48,'Safeguard facility data'!BF$4:BF$312,"&gt;0"))-(SUMIFS('Safeguard facility data'!BM$4:BM$312,'Safeguard facility data'!$A$4:$A$312,$A48,'Safeguard facility data'!BM$4:BM$312,"&gt;0"))</f>
        <v>8287</v>
      </c>
      <c r="G48" s="67"/>
      <c r="H48" s="67"/>
      <c r="I48" s="67"/>
      <c r="J48" s="67"/>
      <c r="K48" s="67"/>
      <c r="L48" s="67"/>
      <c r="M48" s="67"/>
      <c r="N48" s="67"/>
      <c r="O48" s="67"/>
      <c r="P48" s="67"/>
      <c r="Q48" s="67"/>
    </row>
    <row r="49" spans="1:17">
      <c r="A49" s="87" t="s">
        <v>339</v>
      </c>
      <c r="B49" s="67">
        <f>(SUMIFS('Safeguard facility data'!BB$4:BB$312,'Safeguard facility data'!$A$4:$A$312,$A49,'Safeguard facility data'!BB$4:BB$312,"&gt;0"))-(SUMIFS('Safeguard facility data'!BI$4:BI$312,'Safeguard facility data'!$A$4:$A$312,$A49,'Safeguard facility data'!BI$4:BI$312,"&gt;0"))</f>
        <v>8577</v>
      </c>
      <c r="C49" s="67">
        <f>(SUMIFS('Safeguard facility data'!BC$4:BC$312,'Safeguard facility data'!$A$4:$A$312,$A49,'Safeguard facility data'!BC$4:BC$312,"&gt;0"))-(SUMIFS('Safeguard facility data'!BJ$4:BJ$312,'Safeguard facility data'!$A$4:$A$312,$A49,'Safeguard facility data'!BJ$4:BJ$312,"&gt;0"))</f>
        <v>36420</v>
      </c>
      <c r="D49" s="67">
        <f>(SUMIFS('Safeguard facility data'!BD$4:BD$312,'Safeguard facility data'!$A$4:$A$312,$A49,'Safeguard facility data'!BD$4:BD$312,"&gt;0"))-(SUMIFS('Safeguard facility data'!BK$4:BK$312,'Safeguard facility data'!$A$4:$A$312,$A49,'Safeguard facility data'!BK$4:BK$312,"&gt;0"))</f>
        <v>130023</v>
      </c>
      <c r="E49" s="67">
        <f>(SUMIFS('Safeguard facility data'!BE$4:BE$312,'Safeguard facility data'!$A$4:$A$312,$A49,'Safeguard facility data'!BE$4:BE$312,"&gt;0"))-(SUMIFS('Safeguard facility data'!BL$4:BL$312,'Safeguard facility data'!$A$4:$A$312,$A49,'Safeguard facility data'!BL$4:BL$312,"&gt;0"))</f>
        <v>218625</v>
      </c>
      <c r="F49" s="67">
        <f>(SUMIFS('Safeguard facility data'!BF$4:BF$312,'Safeguard facility data'!$A$4:$A$312,$A49,'Safeguard facility data'!BF$4:BF$312,"&gt;0"))-(SUMIFS('Safeguard facility data'!BM$4:BM$312,'Safeguard facility data'!$A$4:$A$312,$A49,'Safeguard facility data'!BM$4:BM$312,"&gt;0"))</f>
        <v>32219</v>
      </c>
      <c r="G49" s="67"/>
      <c r="H49" s="67"/>
      <c r="I49" s="67"/>
      <c r="J49" s="67"/>
      <c r="K49" s="67"/>
      <c r="L49" s="67"/>
      <c r="M49" s="67"/>
      <c r="N49" s="67"/>
      <c r="O49" s="67"/>
      <c r="P49" s="67"/>
      <c r="Q49" s="67"/>
    </row>
    <row r="50" spans="1:17">
      <c r="A50" s="87" t="s">
        <v>340</v>
      </c>
      <c r="B50" s="67">
        <f>(SUMIFS('Safeguard facility data'!BB$4:BB$312,'Safeguard facility data'!$A$4:$A$312,$A50,'Safeguard facility data'!BB$4:BB$312,"&gt;0"))-(SUMIFS('Safeguard facility data'!BI$4:BI$312,'Safeguard facility data'!$A$4:$A$312,$A50,'Safeguard facility data'!BI$4:BI$312,"&gt;0"))</f>
        <v>100000</v>
      </c>
      <c r="C50" s="67">
        <f>(SUMIFS('Safeguard facility data'!BC$4:BC$312,'Safeguard facility data'!$A$4:$A$312,$A50,'Safeguard facility data'!BC$4:BC$312,"&gt;0"))-(SUMIFS('Safeguard facility data'!BJ$4:BJ$312,'Safeguard facility data'!$A$4:$A$312,$A50,'Safeguard facility data'!BJ$4:BJ$312,"&gt;0"))</f>
        <v>100000</v>
      </c>
      <c r="D50" s="67">
        <f>(SUMIFS('Safeguard facility data'!BD$4:BD$312,'Safeguard facility data'!$A$4:$A$312,$A50,'Safeguard facility data'!BD$4:BD$312,"&gt;0"))-(SUMIFS('Safeguard facility data'!BK$4:BK$312,'Safeguard facility data'!$A$4:$A$312,$A50,'Safeguard facility data'!BK$4:BK$312,"&gt;0"))</f>
        <v>100000</v>
      </c>
      <c r="E50" s="67">
        <f>(SUMIFS('Safeguard facility data'!BE$4:BE$312,'Safeguard facility data'!$A$4:$A$312,$A50,'Safeguard facility data'!BE$4:BE$312,"&gt;0"))-(SUMIFS('Safeguard facility data'!BL$4:BL$312,'Safeguard facility data'!$A$4:$A$312,$A50,'Safeguard facility data'!BL$4:BL$312,"&gt;0"))</f>
        <v>100000</v>
      </c>
      <c r="F50" s="67">
        <f>(SUMIFS('Safeguard facility data'!BF$4:BF$312,'Safeguard facility data'!$A$4:$A$312,$A50,'Safeguard facility data'!BF$4:BF$312,"&gt;0"))-(SUMIFS('Safeguard facility data'!BM$4:BM$312,'Safeguard facility data'!$A$4:$A$312,$A50,'Safeguard facility data'!BM$4:BM$312,"&gt;0"))</f>
        <v>100000</v>
      </c>
      <c r="G50" s="67"/>
      <c r="H50" s="67"/>
      <c r="I50" s="67"/>
      <c r="J50" s="67"/>
      <c r="K50" s="67"/>
      <c r="L50" s="67"/>
      <c r="M50" s="67"/>
      <c r="N50" s="67"/>
      <c r="O50" s="67"/>
      <c r="P50" s="67"/>
      <c r="Q50" s="67"/>
    </row>
    <row r="51" spans="1:17">
      <c r="A51" s="87" t="s">
        <v>341</v>
      </c>
      <c r="B51" s="67">
        <f>(SUMIFS('Safeguard facility data'!BB$4:BB$312,'Safeguard facility data'!$A$4:$A$312,$A51,'Safeguard facility data'!BB$4:BB$312,"&gt;0"))-(SUMIFS('Safeguard facility data'!BI$4:BI$312,'Safeguard facility data'!$A$4:$A$312,$A51,'Safeguard facility data'!BI$4:BI$312,"&gt;0"))</f>
        <v>125947</v>
      </c>
      <c r="C51" s="67">
        <f>(SUMIFS('Safeguard facility data'!BC$4:BC$312,'Safeguard facility data'!$A$4:$A$312,$A51,'Safeguard facility data'!BC$4:BC$312,"&gt;0"))-(SUMIFS('Safeguard facility data'!BJ$4:BJ$312,'Safeguard facility data'!$A$4:$A$312,$A51,'Safeguard facility data'!BJ$4:BJ$312,"&gt;0"))</f>
        <v>22912</v>
      </c>
      <c r="D51" s="67">
        <f>(SUMIFS('Safeguard facility data'!BD$4:BD$312,'Safeguard facility data'!$A$4:$A$312,$A51,'Safeguard facility data'!BD$4:BD$312,"&gt;0"))-(SUMIFS('Safeguard facility data'!BK$4:BK$312,'Safeguard facility data'!$A$4:$A$312,$A51,'Safeguard facility data'!BK$4:BK$312,"&gt;0"))</f>
        <v>125947</v>
      </c>
      <c r="E51" s="67">
        <f>(SUMIFS('Safeguard facility data'!BE$4:BE$312,'Safeguard facility data'!$A$4:$A$312,$A51,'Safeguard facility data'!BE$4:BE$312,"&gt;0"))-(SUMIFS('Safeguard facility data'!BL$4:BL$312,'Safeguard facility data'!$A$4:$A$312,$A51,'Safeguard facility data'!BL$4:BL$312,"&gt;0"))</f>
        <v>17378</v>
      </c>
      <c r="F51" s="67">
        <f>(SUMIFS('Safeguard facility data'!BF$4:BF$312,'Safeguard facility data'!$A$4:$A$312,$A51,'Safeguard facility data'!BF$4:BF$312,"&gt;0"))-(SUMIFS('Safeguard facility data'!BM$4:BM$312,'Safeguard facility data'!$A$4:$A$312,$A51,'Safeguard facility data'!BM$4:BM$312,"&gt;0"))</f>
        <v>125947</v>
      </c>
      <c r="G51" s="67"/>
      <c r="H51" s="67"/>
      <c r="I51" s="67"/>
      <c r="J51" s="67"/>
      <c r="K51" s="67"/>
      <c r="L51" s="67"/>
      <c r="M51" s="67"/>
      <c r="N51" s="67"/>
      <c r="O51" s="67"/>
      <c r="P51" s="67"/>
      <c r="Q51" s="67"/>
    </row>
    <row r="52" spans="1:17">
      <c r="A52" s="87" t="s">
        <v>342</v>
      </c>
      <c r="B52" s="67">
        <f>(SUMIFS('Safeguard facility data'!BB$4:BB$312,'Safeguard facility data'!$A$4:$A$312,$A52,'Safeguard facility data'!BB$4:BB$312,"&gt;0"))-(SUMIFS('Safeguard facility data'!BI$4:BI$312,'Safeguard facility data'!$A$4:$A$312,$A52,'Safeguard facility data'!BI$4:BI$312,"&gt;0"))</f>
        <v>100000</v>
      </c>
      <c r="C52" s="67">
        <f>(SUMIFS('Safeguard facility data'!BC$4:BC$312,'Safeguard facility data'!$A$4:$A$312,$A52,'Safeguard facility data'!BC$4:BC$312,"&gt;0"))-(SUMIFS('Safeguard facility data'!BJ$4:BJ$312,'Safeguard facility data'!$A$4:$A$312,$A52,'Safeguard facility data'!BJ$4:BJ$312,"&gt;0"))</f>
        <v>100000</v>
      </c>
      <c r="D52" s="67">
        <f>(SUMIFS('Safeguard facility data'!BD$4:BD$312,'Safeguard facility data'!$A$4:$A$312,$A52,'Safeguard facility data'!BD$4:BD$312,"&gt;0"))-(SUMIFS('Safeguard facility data'!BK$4:BK$312,'Safeguard facility data'!$A$4:$A$312,$A52,'Safeguard facility data'!BK$4:BK$312,"&gt;0"))</f>
        <v>100000</v>
      </c>
      <c r="E52" s="67">
        <f>(SUMIFS('Safeguard facility data'!BE$4:BE$312,'Safeguard facility data'!$A$4:$A$312,$A52,'Safeguard facility data'!BE$4:BE$312,"&gt;0"))-(SUMIFS('Safeguard facility data'!BL$4:BL$312,'Safeguard facility data'!$A$4:$A$312,$A52,'Safeguard facility data'!BL$4:BL$312,"&gt;0"))</f>
        <v>100000</v>
      </c>
      <c r="F52" s="67">
        <f>(SUMIFS('Safeguard facility data'!BF$4:BF$312,'Safeguard facility data'!$A$4:$A$312,$A52,'Safeguard facility data'!BF$4:BF$312,"&gt;0"))-(SUMIFS('Safeguard facility data'!BM$4:BM$312,'Safeguard facility data'!$A$4:$A$312,$A52,'Safeguard facility data'!BM$4:BM$312,"&gt;0"))</f>
        <v>100000</v>
      </c>
      <c r="G52" s="67"/>
      <c r="H52" s="67"/>
      <c r="I52" s="67"/>
      <c r="J52" s="67"/>
      <c r="K52" s="67"/>
      <c r="L52" s="67"/>
      <c r="M52" s="67"/>
      <c r="N52" s="67"/>
      <c r="O52" s="67"/>
      <c r="P52" s="67"/>
      <c r="Q52" s="67"/>
    </row>
    <row r="53" spans="1:17">
      <c r="A53" s="87" t="s">
        <v>343</v>
      </c>
      <c r="B53" s="67">
        <f>(SUMIFS('Safeguard facility data'!BB$4:BB$312,'Safeguard facility data'!$A$4:$A$312,$A53,'Safeguard facility data'!BB$4:BB$312,"&gt;0"))-(SUMIFS('Safeguard facility data'!BI$4:BI$312,'Safeguard facility data'!$A$4:$A$312,$A53,'Safeguard facility data'!BI$4:BI$312,"&gt;0"))</f>
        <v>100000</v>
      </c>
      <c r="C53" s="67">
        <f>(SUMIFS('Safeguard facility data'!BC$4:BC$312,'Safeguard facility data'!$A$4:$A$312,$A53,'Safeguard facility data'!BC$4:BC$312,"&gt;0"))-(SUMIFS('Safeguard facility data'!BJ$4:BJ$312,'Safeguard facility data'!$A$4:$A$312,$A53,'Safeguard facility data'!BJ$4:BJ$312,"&gt;0"))</f>
        <v>100000</v>
      </c>
      <c r="D53" s="67">
        <f>(SUMIFS('Safeguard facility data'!BD$4:BD$312,'Safeguard facility data'!$A$4:$A$312,$A53,'Safeguard facility data'!BD$4:BD$312,"&gt;0"))-(SUMIFS('Safeguard facility data'!BK$4:BK$312,'Safeguard facility data'!$A$4:$A$312,$A53,'Safeguard facility data'!BK$4:BK$312,"&gt;0"))</f>
        <v>100000</v>
      </c>
      <c r="E53" s="67">
        <f>(SUMIFS('Safeguard facility data'!BE$4:BE$312,'Safeguard facility data'!$A$4:$A$312,$A53,'Safeguard facility data'!BE$4:BE$312,"&gt;0"))-(SUMIFS('Safeguard facility data'!BL$4:BL$312,'Safeguard facility data'!$A$4:$A$312,$A53,'Safeguard facility data'!BL$4:BL$312,"&gt;0"))</f>
        <v>100000</v>
      </c>
      <c r="F53" s="67">
        <f>(SUMIFS('Safeguard facility data'!BF$4:BF$312,'Safeguard facility data'!$A$4:$A$312,$A53,'Safeguard facility data'!BF$4:BF$312,"&gt;0"))-(SUMIFS('Safeguard facility data'!BM$4:BM$312,'Safeguard facility data'!$A$4:$A$312,$A53,'Safeguard facility data'!BM$4:BM$312,"&gt;0"))</f>
        <v>100000</v>
      </c>
      <c r="G53" s="67"/>
      <c r="H53" s="67"/>
      <c r="I53" s="67"/>
      <c r="J53" s="67"/>
      <c r="K53" s="67"/>
      <c r="L53" s="67"/>
      <c r="M53" s="67"/>
      <c r="N53" s="67"/>
      <c r="O53" s="67"/>
      <c r="P53" s="67"/>
      <c r="Q53" s="67"/>
    </row>
    <row r="54" spans="1:17">
      <c r="A54" s="87" t="s">
        <v>344</v>
      </c>
      <c r="B54" s="67">
        <f>(SUMIFS('Safeguard facility data'!BB$4:BB$312,'Safeguard facility data'!$A$4:$A$312,$A54,'Safeguard facility data'!BB$4:BB$312,"&gt;0"))-(SUMIFS('Safeguard facility data'!BI$4:BI$312,'Safeguard facility data'!$A$4:$A$312,$A54,'Safeguard facility data'!BI$4:BI$312,"&gt;0"))</f>
        <v>280458</v>
      </c>
      <c r="C54" s="67">
        <f>(SUMIFS('Safeguard facility data'!BC$4:BC$312,'Safeguard facility data'!$A$4:$A$312,$A54,'Safeguard facility data'!BC$4:BC$312,"&gt;0"))-(SUMIFS('Safeguard facility data'!BJ$4:BJ$312,'Safeguard facility data'!$A$4:$A$312,$A54,'Safeguard facility data'!BJ$4:BJ$312,"&gt;0"))</f>
        <v>340716</v>
      </c>
      <c r="D54" s="67">
        <f>(SUMIFS('Safeguard facility data'!BD$4:BD$312,'Safeguard facility data'!$A$4:$A$312,$A54,'Safeguard facility data'!BD$4:BD$312,"&gt;0"))-(SUMIFS('Safeguard facility data'!BK$4:BK$312,'Safeguard facility data'!$A$4:$A$312,$A54,'Safeguard facility data'!BK$4:BK$312,"&gt;0"))</f>
        <v>691140</v>
      </c>
      <c r="E54" s="67">
        <f>(SUMIFS('Safeguard facility data'!BE$4:BE$312,'Safeguard facility data'!$A$4:$A$312,$A54,'Safeguard facility data'!BE$4:BE$312,"&gt;0"))-(SUMIFS('Safeguard facility data'!BL$4:BL$312,'Safeguard facility data'!$A$4:$A$312,$A54,'Safeguard facility data'!BL$4:BL$312,"&gt;0"))</f>
        <v>187928</v>
      </c>
      <c r="F54" s="67">
        <f>(SUMIFS('Safeguard facility data'!BF$4:BF$312,'Safeguard facility data'!$A$4:$A$312,$A54,'Safeguard facility data'!BF$4:BF$312,"&gt;0"))-(SUMIFS('Safeguard facility data'!BM$4:BM$312,'Safeguard facility data'!$A$4:$A$312,$A54,'Safeguard facility data'!BM$4:BM$312,"&gt;0"))</f>
        <v>-467650</v>
      </c>
      <c r="G54" s="67"/>
      <c r="H54" s="67"/>
      <c r="I54" s="67"/>
      <c r="J54" s="67"/>
      <c r="K54" s="67"/>
      <c r="L54" s="67"/>
      <c r="M54" s="67"/>
      <c r="N54" s="67"/>
      <c r="O54" s="67"/>
      <c r="P54" s="67"/>
      <c r="Q54" s="67"/>
    </row>
    <row r="55" spans="1:17">
      <c r="A55" s="87" t="s">
        <v>345</v>
      </c>
      <c r="B55" s="67">
        <f>(SUMIFS('Safeguard facility data'!BB$4:BB$312,'Safeguard facility data'!$A$4:$A$312,$A55,'Safeguard facility data'!BB$4:BB$312,"&gt;0"))-(SUMIFS('Safeguard facility data'!BI$4:BI$312,'Safeguard facility data'!$A$4:$A$312,$A55,'Safeguard facility data'!BI$4:BI$312,"&gt;0"))</f>
        <v>140367</v>
      </c>
      <c r="C55" s="67">
        <f>(SUMIFS('Safeguard facility data'!BC$4:BC$312,'Safeguard facility data'!$A$4:$A$312,$A55,'Safeguard facility data'!BC$4:BC$312,"&gt;0"))-(SUMIFS('Safeguard facility data'!BJ$4:BJ$312,'Safeguard facility data'!$A$4:$A$312,$A55,'Safeguard facility data'!BJ$4:BJ$312,"&gt;0"))</f>
        <v>132287</v>
      </c>
      <c r="D55" s="67">
        <f>(SUMIFS('Safeguard facility data'!BD$4:BD$312,'Safeguard facility data'!$A$4:$A$312,$A55,'Safeguard facility data'!BD$4:BD$312,"&gt;0"))-(SUMIFS('Safeguard facility data'!BK$4:BK$312,'Safeguard facility data'!$A$4:$A$312,$A55,'Safeguard facility data'!BK$4:BK$312,"&gt;0"))</f>
        <v>123312</v>
      </c>
      <c r="E55" s="67">
        <f>(SUMIFS('Safeguard facility data'!BE$4:BE$312,'Safeguard facility data'!$A$4:$A$312,$A55,'Safeguard facility data'!BE$4:BE$312,"&gt;0"))-(SUMIFS('Safeguard facility data'!BL$4:BL$312,'Safeguard facility data'!$A$4:$A$312,$A55,'Safeguard facility data'!BL$4:BL$312,"&gt;0"))</f>
        <v>102487</v>
      </c>
      <c r="F55" s="67">
        <f>(SUMIFS('Safeguard facility data'!BF$4:BF$312,'Safeguard facility data'!$A$4:$A$312,$A55,'Safeguard facility data'!BF$4:BF$312,"&gt;0"))-(SUMIFS('Safeguard facility data'!BM$4:BM$312,'Safeguard facility data'!$A$4:$A$312,$A55,'Safeguard facility data'!BM$4:BM$312,"&gt;0"))</f>
        <v>168195</v>
      </c>
      <c r="G55" s="67"/>
      <c r="H55" s="67"/>
      <c r="I55" s="67"/>
      <c r="J55" s="67"/>
      <c r="K55" s="67"/>
      <c r="L55" s="67"/>
      <c r="M55" s="67"/>
      <c r="N55" s="67"/>
      <c r="O55" s="67"/>
      <c r="P55" s="67"/>
      <c r="Q55" s="67"/>
    </row>
    <row r="56" spans="1:17">
      <c r="A56" s="87" t="s">
        <v>346</v>
      </c>
      <c r="B56" s="67">
        <f>(SUMIFS('Safeguard facility data'!BB$4:BB$312,'Safeguard facility data'!$A$4:$A$312,$A56,'Safeguard facility data'!BB$4:BB$312,"&gt;0"))-(SUMIFS('Safeguard facility data'!BI$4:BI$312,'Safeguard facility data'!$A$4:$A$312,$A56,'Safeguard facility data'!BI$4:BI$312,"&gt;0"))</f>
        <v>102296</v>
      </c>
      <c r="C56" s="67">
        <f>(SUMIFS('Safeguard facility data'!BC$4:BC$312,'Safeguard facility data'!$A$4:$A$312,$A56,'Safeguard facility data'!BC$4:BC$312,"&gt;0"))-(SUMIFS('Safeguard facility data'!BJ$4:BJ$312,'Safeguard facility data'!$A$4:$A$312,$A56,'Safeguard facility data'!BJ$4:BJ$312,"&gt;0"))</f>
        <v>102296</v>
      </c>
      <c r="D56" s="67">
        <f>(SUMIFS('Safeguard facility data'!BD$4:BD$312,'Safeguard facility data'!$A$4:$A$312,$A56,'Safeguard facility data'!BD$4:BD$312,"&gt;0"))-(SUMIFS('Safeguard facility data'!BK$4:BK$312,'Safeguard facility data'!$A$4:$A$312,$A56,'Safeguard facility data'!BK$4:BK$312,"&gt;0"))</f>
        <v>102296</v>
      </c>
      <c r="E56" s="67">
        <f>(SUMIFS('Safeguard facility data'!BE$4:BE$312,'Safeguard facility data'!$A$4:$A$312,$A56,'Safeguard facility data'!BE$4:BE$312,"&gt;0"))-(SUMIFS('Safeguard facility data'!BL$4:BL$312,'Safeguard facility data'!$A$4:$A$312,$A56,'Safeguard facility data'!BL$4:BL$312,"&gt;0"))</f>
        <v>102296</v>
      </c>
      <c r="F56" s="67">
        <f>(SUMIFS('Safeguard facility data'!BF$4:BF$312,'Safeguard facility data'!$A$4:$A$312,$A56,'Safeguard facility data'!BF$4:BF$312,"&gt;0"))-(SUMIFS('Safeguard facility data'!BM$4:BM$312,'Safeguard facility data'!$A$4:$A$312,$A56,'Safeguard facility data'!BM$4:BM$312,"&gt;0"))</f>
        <v>102296</v>
      </c>
      <c r="G56" s="67"/>
      <c r="H56" s="67"/>
      <c r="I56" s="67"/>
      <c r="J56" s="67"/>
      <c r="K56" s="67"/>
      <c r="L56" s="67"/>
      <c r="M56" s="67"/>
      <c r="N56" s="67"/>
      <c r="O56" s="67"/>
      <c r="P56" s="67"/>
      <c r="Q56" s="67"/>
    </row>
    <row r="57" spans="1:17">
      <c r="A57" s="87" t="s">
        <v>347</v>
      </c>
      <c r="B57" s="67">
        <f>(SUMIFS('Safeguard facility data'!BB$4:BB$312,'Safeguard facility data'!$A$4:$A$312,$A57,'Safeguard facility data'!BB$4:BB$312,"&gt;0"))-(SUMIFS('Safeguard facility data'!BI$4:BI$312,'Safeguard facility data'!$A$4:$A$312,$A57,'Safeguard facility data'!BI$4:BI$312,"&gt;0"))</f>
        <v>119602</v>
      </c>
      <c r="C57" s="67">
        <f>(SUMIFS('Safeguard facility data'!BC$4:BC$312,'Safeguard facility data'!$A$4:$A$312,$A57,'Safeguard facility data'!BC$4:BC$312,"&gt;0"))-(SUMIFS('Safeguard facility data'!BJ$4:BJ$312,'Safeguard facility data'!$A$4:$A$312,$A57,'Safeguard facility data'!BJ$4:BJ$312,"&gt;0"))</f>
        <v>123354</v>
      </c>
      <c r="D57" s="67">
        <f>(SUMIFS('Safeguard facility data'!BD$4:BD$312,'Safeguard facility data'!$A$4:$A$312,$A57,'Safeguard facility data'!BD$4:BD$312,"&gt;0"))-(SUMIFS('Safeguard facility data'!BK$4:BK$312,'Safeguard facility data'!$A$4:$A$312,$A57,'Safeguard facility data'!BK$4:BK$312,"&gt;0"))</f>
        <v>45184</v>
      </c>
      <c r="E57" s="67">
        <f>(SUMIFS('Safeguard facility data'!BE$4:BE$312,'Safeguard facility data'!$A$4:$A$312,$A57,'Safeguard facility data'!BE$4:BE$312,"&gt;0"))-(SUMIFS('Safeguard facility data'!BL$4:BL$312,'Safeguard facility data'!$A$4:$A$312,$A57,'Safeguard facility data'!BL$4:BL$312,"&gt;0"))</f>
        <v>9562</v>
      </c>
      <c r="F57" s="67">
        <f>(SUMIFS('Safeguard facility data'!BF$4:BF$312,'Safeguard facility data'!$A$4:$A$312,$A57,'Safeguard facility data'!BF$4:BF$312,"&gt;0"))-(SUMIFS('Safeguard facility data'!BM$4:BM$312,'Safeguard facility data'!$A$4:$A$312,$A57,'Safeguard facility data'!BM$4:BM$312,"&gt;0"))</f>
        <v>22399</v>
      </c>
      <c r="G57" s="67"/>
      <c r="H57" s="67"/>
      <c r="I57" s="67"/>
      <c r="J57" s="67"/>
      <c r="K57" s="67"/>
      <c r="L57" s="67"/>
      <c r="M57" s="67"/>
      <c r="N57" s="67"/>
      <c r="O57" s="67"/>
      <c r="P57" s="67"/>
      <c r="Q57" s="67"/>
    </row>
    <row r="58" spans="1:17">
      <c r="A58" s="87" t="s">
        <v>348</v>
      </c>
      <c r="B58" s="67">
        <f>(SUMIFS('Safeguard facility data'!BB$4:BB$312,'Safeguard facility data'!$A$4:$A$312,$A58,'Safeguard facility data'!BB$4:BB$312,"&gt;0"))-(SUMIFS('Safeguard facility data'!BI$4:BI$312,'Safeguard facility data'!$A$4:$A$312,$A58,'Safeguard facility data'!BI$4:BI$312,"&gt;0"))</f>
        <v>63864</v>
      </c>
      <c r="C58" s="67">
        <f>(SUMIFS('Safeguard facility data'!BC$4:BC$312,'Safeguard facility data'!$A$4:$A$312,$A58,'Safeguard facility data'!BC$4:BC$312,"&gt;0"))-(SUMIFS('Safeguard facility data'!BJ$4:BJ$312,'Safeguard facility data'!$A$4:$A$312,$A58,'Safeguard facility data'!BJ$4:BJ$312,"&gt;0"))</f>
        <v>66351</v>
      </c>
      <c r="D58" s="67">
        <f>(SUMIFS('Safeguard facility data'!BD$4:BD$312,'Safeguard facility data'!$A$4:$A$312,$A58,'Safeguard facility data'!BD$4:BD$312,"&gt;0"))-(SUMIFS('Safeguard facility data'!BK$4:BK$312,'Safeguard facility data'!$A$4:$A$312,$A58,'Safeguard facility data'!BK$4:BK$312,"&gt;0"))</f>
        <v>65171</v>
      </c>
      <c r="E58" s="67">
        <f>(SUMIFS('Safeguard facility data'!BE$4:BE$312,'Safeguard facility data'!$A$4:$A$312,$A58,'Safeguard facility data'!BE$4:BE$312,"&gt;0"))-(SUMIFS('Safeguard facility data'!BL$4:BL$312,'Safeguard facility data'!$A$4:$A$312,$A58,'Safeguard facility data'!BL$4:BL$312,"&gt;0"))</f>
        <v>59366</v>
      </c>
      <c r="F58" s="67">
        <f>(SUMIFS('Safeguard facility data'!BF$4:BF$312,'Safeguard facility data'!$A$4:$A$312,$A58,'Safeguard facility data'!BF$4:BF$312,"&gt;0"))-(SUMIFS('Safeguard facility data'!BM$4:BM$312,'Safeguard facility data'!$A$4:$A$312,$A58,'Safeguard facility data'!BM$4:BM$312,"&gt;0"))</f>
        <v>97199</v>
      </c>
      <c r="G58" s="67"/>
      <c r="H58" s="67"/>
      <c r="I58" s="67"/>
      <c r="J58" s="67"/>
      <c r="K58" s="67"/>
      <c r="L58" s="67"/>
      <c r="M58" s="67"/>
      <c r="N58" s="67"/>
      <c r="O58" s="67"/>
      <c r="P58" s="67"/>
      <c r="Q58" s="67"/>
    </row>
    <row r="59" spans="1:17">
      <c r="A59" s="87" t="s">
        <v>349</v>
      </c>
      <c r="B59" s="67">
        <f>(SUMIFS('Safeguard facility data'!BB$4:BB$312,'Safeguard facility data'!$A$4:$A$312,$A59,'Safeguard facility data'!BB$4:BB$312,"&gt;0"))-(SUMIFS('Safeguard facility data'!BI$4:BI$312,'Safeguard facility data'!$A$4:$A$312,$A59,'Safeguard facility data'!BI$4:BI$312,"&gt;0"))</f>
        <v>92033</v>
      </c>
      <c r="C59" s="67">
        <f>(SUMIFS('Safeguard facility data'!BC$4:BC$312,'Safeguard facility data'!$A$4:$A$312,$A59,'Safeguard facility data'!BC$4:BC$312,"&gt;0"))-(SUMIFS('Safeguard facility data'!BJ$4:BJ$312,'Safeguard facility data'!$A$4:$A$312,$A59,'Safeguard facility data'!BJ$4:BJ$312,"&gt;0"))</f>
        <v>123775</v>
      </c>
      <c r="D59" s="67">
        <f>(SUMIFS('Safeguard facility data'!BD$4:BD$312,'Safeguard facility data'!$A$4:$A$312,$A59,'Safeguard facility data'!BD$4:BD$312,"&gt;0"))-(SUMIFS('Safeguard facility data'!BK$4:BK$312,'Safeguard facility data'!$A$4:$A$312,$A59,'Safeguard facility data'!BK$4:BK$312,"&gt;0"))</f>
        <v>102202</v>
      </c>
      <c r="E59" s="67">
        <f>(SUMIFS('Safeguard facility data'!BE$4:BE$312,'Safeguard facility data'!$A$4:$A$312,$A59,'Safeguard facility data'!BE$4:BE$312,"&gt;0"))-(SUMIFS('Safeguard facility data'!BL$4:BL$312,'Safeguard facility data'!$A$4:$A$312,$A59,'Safeguard facility data'!BL$4:BL$312,"&gt;0"))</f>
        <v>84345</v>
      </c>
      <c r="F59" s="67">
        <f>(SUMIFS('Safeguard facility data'!BF$4:BF$312,'Safeguard facility data'!$A$4:$A$312,$A59,'Safeguard facility data'!BF$4:BF$312,"&gt;0"))-(SUMIFS('Safeguard facility data'!BM$4:BM$312,'Safeguard facility data'!$A$4:$A$312,$A59,'Safeguard facility data'!BM$4:BM$312,"&gt;0"))</f>
        <v>-16746</v>
      </c>
      <c r="G59" s="67"/>
      <c r="H59" s="67"/>
      <c r="I59" s="67"/>
      <c r="J59" s="67"/>
      <c r="K59" s="67"/>
      <c r="L59" s="67"/>
      <c r="M59" s="67"/>
      <c r="N59" s="67"/>
      <c r="O59" s="67"/>
      <c r="P59" s="67"/>
      <c r="Q59" s="67"/>
    </row>
    <row r="60" spans="1:17">
      <c r="A60" s="87" t="s">
        <v>350</v>
      </c>
      <c r="B60" s="67">
        <f>(SUMIFS('Safeguard facility data'!BB$4:BB$312,'Safeguard facility data'!$A$4:$A$312,$A60,'Safeguard facility data'!BB$4:BB$312,"&gt;0"))-(SUMIFS('Safeguard facility data'!BI$4:BI$312,'Safeguard facility data'!$A$4:$A$312,$A60,'Safeguard facility data'!BI$4:BI$312,"&gt;0"))</f>
        <v>100000</v>
      </c>
      <c r="C60" s="67">
        <f>(SUMIFS('Safeguard facility data'!BC$4:BC$312,'Safeguard facility data'!$A$4:$A$312,$A60,'Safeguard facility data'!BC$4:BC$312,"&gt;0"))-(SUMIFS('Safeguard facility data'!BJ$4:BJ$312,'Safeguard facility data'!$A$4:$A$312,$A60,'Safeguard facility data'!BJ$4:BJ$312,"&gt;0"))</f>
        <v>100000</v>
      </c>
      <c r="D60" s="67">
        <f>(SUMIFS('Safeguard facility data'!BD$4:BD$312,'Safeguard facility data'!$A$4:$A$312,$A60,'Safeguard facility data'!BD$4:BD$312,"&gt;0"))-(SUMIFS('Safeguard facility data'!BK$4:BK$312,'Safeguard facility data'!$A$4:$A$312,$A60,'Safeguard facility data'!BK$4:BK$312,"&gt;0"))</f>
        <v>100000</v>
      </c>
      <c r="E60" s="67">
        <f>(SUMIFS('Safeguard facility data'!BE$4:BE$312,'Safeguard facility data'!$A$4:$A$312,$A60,'Safeguard facility data'!BE$4:BE$312,"&gt;0"))-(SUMIFS('Safeguard facility data'!BL$4:BL$312,'Safeguard facility data'!$A$4:$A$312,$A60,'Safeguard facility data'!BL$4:BL$312,"&gt;0"))</f>
        <v>100000</v>
      </c>
      <c r="F60" s="67">
        <f>(SUMIFS('Safeguard facility data'!BF$4:BF$312,'Safeguard facility data'!$A$4:$A$312,$A60,'Safeguard facility data'!BF$4:BF$312,"&gt;0"))-(SUMIFS('Safeguard facility data'!BM$4:BM$312,'Safeguard facility data'!$A$4:$A$312,$A60,'Safeguard facility data'!BM$4:BM$312,"&gt;0"))</f>
        <v>100000</v>
      </c>
      <c r="G60" s="67"/>
      <c r="H60" s="67"/>
      <c r="I60" s="67"/>
      <c r="J60" s="67"/>
      <c r="K60" s="67"/>
      <c r="L60" s="67"/>
      <c r="M60" s="67"/>
      <c r="N60" s="67"/>
      <c r="O60" s="67"/>
      <c r="P60" s="67"/>
      <c r="Q60" s="67"/>
    </row>
    <row r="61" spans="1:17">
      <c r="A61" s="87" t="s">
        <v>351</v>
      </c>
      <c r="B61" s="67">
        <f>(SUMIFS('Safeguard facility data'!BB$4:BB$312,'Safeguard facility data'!$A$4:$A$312,$A61,'Safeguard facility data'!BB$4:BB$312,"&gt;0"))-(SUMIFS('Safeguard facility data'!BI$4:BI$312,'Safeguard facility data'!$A$4:$A$312,$A61,'Safeguard facility data'!BI$4:BI$312,"&gt;0"))</f>
        <v>745860</v>
      </c>
      <c r="C61" s="67">
        <f>(SUMIFS('Safeguard facility data'!BC$4:BC$312,'Safeguard facility data'!$A$4:$A$312,$A61,'Safeguard facility data'!BC$4:BC$312,"&gt;0"))-(SUMIFS('Safeguard facility data'!BJ$4:BJ$312,'Safeguard facility data'!$A$4:$A$312,$A61,'Safeguard facility data'!BJ$4:BJ$312,"&gt;0"))</f>
        <v>819472</v>
      </c>
      <c r="D61" s="67">
        <f>(SUMIFS('Safeguard facility data'!BD$4:BD$312,'Safeguard facility data'!$A$4:$A$312,$A61,'Safeguard facility data'!BD$4:BD$312,"&gt;0"))-(SUMIFS('Safeguard facility data'!BK$4:BK$312,'Safeguard facility data'!$A$4:$A$312,$A61,'Safeguard facility data'!BK$4:BK$312,"&gt;0"))</f>
        <v>891756</v>
      </c>
      <c r="E61" s="67">
        <f>(SUMIFS('Safeguard facility data'!BE$4:BE$312,'Safeguard facility data'!$A$4:$A$312,$A61,'Safeguard facility data'!BE$4:BE$312,"&gt;0"))-(SUMIFS('Safeguard facility data'!BL$4:BL$312,'Safeguard facility data'!$A$4:$A$312,$A61,'Safeguard facility data'!BL$4:BL$312,"&gt;0"))</f>
        <v>860168</v>
      </c>
      <c r="F61" s="67">
        <f>(SUMIFS('Safeguard facility data'!BF$4:BF$312,'Safeguard facility data'!$A$4:$A$312,$A61,'Safeguard facility data'!BF$4:BF$312,"&gt;0"))-(SUMIFS('Safeguard facility data'!BM$4:BM$312,'Safeguard facility data'!$A$4:$A$312,$A61,'Safeguard facility data'!BM$4:BM$312,"&gt;0"))</f>
        <v>794608</v>
      </c>
      <c r="G61" s="67"/>
      <c r="H61" s="67"/>
      <c r="I61" s="67"/>
      <c r="J61" s="67"/>
      <c r="K61" s="67"/>
      <c r="L61" s="67"/>
      <c r="M61" s="67"/>
      <c r="N61" s="67"/>
      <c r="O61" s="67"/>
      <c r="P61" s="67"/>
      <c r="Q61" s="67"/>
    </row>
    <row r="62" spans="1:17">
      <c r="A62" s="87" t="s">
        <v>352</v>
      </c>
      <c r="B62" s="67">
        <f>(SUMIFS('Safeguard facility data'!BB$4:BB$312,'Safeguard facility data'!$A$4:$A$312,$A62,'Safeguard facility data'!BB$4:BB$312,"&gt;0"))-(SUMIFS('Safeguard facility data'!BI$4:BI$312,'Safeguard facility data'!$A$4:$A$312,$A62,'Safeguard facility data'!BI$4:BI$312,"&gt;0"))</f>
        <v>176524</v>
      </c>
      <c r="C62" s="67">
        <f>(SUMIFS('Safeguard facility data'!BC$4:BC$312,'Safeguard facility data'!$A$4:$A$312,$A62,'Safeguard facility data'!BC$4:BC$312,"&gt;0"))-(SUMIFS('Safeguard facility data'!BJ$4:BJ$312,'Safeguard facility data'!$A$4:$A$312,$A62,'Safeguard facility data'!BJ$4:BJ$312,"&gt;0"))</f>
        <v>29847</v>
      </c>
      <c r="D62" s="67">
        <f>(SUMIFS('Safeguard facility data'!BD$4:BD$312,'Safeguard facility data'!$A$4:$A$312,$A62,'Safeguard facility data'!BD$4:BD$312,"&gt;0"))-(SUMIFS('Safeguard facility data'!BK$4:BK$312,'Safeguard facility data'!$A$4:$A$312,$A62,'Safeguard facility data'!BK$4:BK$312,"&gt;0"))</f>
        <v>8277</v>
      </c>
      <c r="E62" s="67">
        <f>(SUMIFS('Safeguard facility data'!BE$4:BE$312,'Safeguard facility data'!$A$4:$A$312,$A62,'Safeguard facility data'!BE$4:BE$312,"&gt;0"))-(SUMIFS('Safeguard facility data'!BL$4:BL$312,'Safeguard facility data'!$A$4:$A$312,$A62,'Safeguard facility data'!BL$4:BL$312,"&gt;0"))</f>
        <v>23453</v>
      </c>
      <c r="F62" s="67">
        <f>(SUMIFS('Safeguard facility data'!BF$4:BF$312,'Safeguard facility data'!$A$4:$A$312,$A62,'Safeguard facility data'!BF$4:BF$312,"&gt;0"))-(SUMIFS('Safeguard facility data'!BM$4:BM$312,'Safeguard facility data'!$A$4:$A$312,$A62,'Safeguard facility data'!BM$4:BM$312,"&gt;0"))</f>
        <v>32056</v>
      </c>
      <c r="G62" s="67"/>
      <c r="H62" s="67"/>
      <c r="I62" s="67"/>
      <c r="J62" s="67"/>
      <c r="K62" s="67"/>
      <c r="L62" s="67"/>
      <c r="M62" s="67"/>
      <c r="N62" s="67"/>
      <c r="O62" s="67"/>
      <c r="P62" s="67"/>
      <c r="Q62" s="67"/>
    </row>
    <row r="63" spans="1:17">
      <c r="A63" s="87" t="s">
        <v>353</v>
      </c>
      <c r="B63" s="67">
        <f>(SUMIFS('Safeguard facility data'!BB$4:BB$312,'Safeguard facility data'!$A$4:$A$312,$A63,'Safeguard facility data'!BB$4:BB$312,"&gt;0"))-(SUMIFS('Safeguard facility data'!BI$4:BI$312,'Safeguard facility data'!$A$4:$A$312,$A63,'Safeguard facility data'!BI$4:BI$312,"&gt;0"))</f>
        <v>154246</v>
      </c>
      <c r="C63" s="67">
        <f>(SUMIFS('Safeguard facility data'!BC$4:BC$312,'Safeguard facility data'!$A$4:$A$312,$A63,'Safeguard facility data'!BC$4:BC$312,"&gt;0"))-(SUMIFS('Safeguard facility data'!BJ$4:BJ$312,'Safeguard facility data'!$A$4:$A$312,$A63,'Safeguard facility data'!BJ$4:BJ$312,"&gt;0"))</f>
        <v>278185</v>
      </c>
      <c r="D63" s="67">
        <f>(SUMIFS('Safeguard facility data'!BD$4:BD$312,'Safeguard facility data'!$A$4:$A$312,$A63,'Safeguard facility data'!BD$4:BD$312,"&gt;0"))-(SUMIFS('Safeguard facility data'!BK$4:BK$312,'Safeguard facility data'!$A$4:$A$312,$A63,'Safeguard facility data'!BK$4:BK$312,"&gt;0"))</f>
        <v>278185</v>
      </c>
      <c r="E63" s="67">
        <f>(SUMIFS('Safeguard facility data'!BE$4:BE$312,'Safeguard facility data'!$A$4:$A$312,$A63,'Safeguard facility data'!BE$4:BE$312,"&gt;0"))-(SUMIFS('Safeguard facility data'!BL$4:BL$312,'Safeguard facility data'!$A$4:$A$312,$A63,'Safeguard facility data'!BL$4:BL$312,"&gt;0"))</f>
        <v>278185</v>
      </c>
      <c r="F63" s="67">
        <f>(SUMIFS('Safeguard facility data'!BF$4:BF$312,'Safeguard facility data'!$A$4:$A$312,$A63,'Safeguard facility data'!BF$4:BF$312,"&gt;0"))-(SUMIFS('Safeguard facility data'!BM$4:BM$312,'Safeguard facility data'!$A$4:$A$312,$A63,'Safeguard facility data'!BM$4:BM$312,"&gt;0"))</f>
        <v>278185</v>
      </c>
      <c r="G63" s="67"/>
      <c r="H63" s="67"/>
      <c r="I63" s="67"/>
      <c r="J63" s="67"/>
      <c r="K63" s="67"/>
      <c r="L63" s="67"/>
      <c r="M63" s="67"/>
      <c r="N63" s="67"/>
      <c r="O63" s="67"/>
      <c r="P63" s="67"/>
      <c r="Q63" s="67"/>
    </row>
    <row r="64" spans="1:17">
      <c r="A64" s="87" t="s">
        <v>354</v>
      </c>
      <c r="B64" s="67">
        <f>(SUMIFS('Safeguard facility data'!BB$4:BB$312,'Safeguard facility data'!$A$4:$A$312,$A64,'Safeguard facility data'!BB$4:BB$312,"&gt;0"))-(SUMIFS('Safeguard facility data'!BI$4:BI$312,'Safeguard facility data'!$A$4:$A$312,$A64,'Safeguard facility data'!BI$4:BI$312,"&gt;0"))</f>
        <v>79800</v>
      </c>
      <c r="C64" s="67">
        <f>(SUMIFS('Safeguard facility data'!BC$4:BC$312,'Safeguard facility data'!$A$4:$A$312,$A64,'Safeguard facility data'!BC$4:BC$312,"&gt;0"))-(SUMIFS('Safeguard facility data'!BJ$4:BJ$312,'Safeguard facility data'!$A$4:$A$312,$A64,'Safeguard facility data'!BJ$4:BJ$312,"&gt;0"))</f>
        <v>49936</v>
      </c>
      <c r="D64" s="67">
        <f>(SUMIFS('Safeguard facility data'!BD$4:BD$312,'Safeguard facility data'!$A$4:$A$312,$A64,'Safeguard facility data'!BD$4:BD$312,"&gt;0"))-(SUMIFS('Safeguard facility data'!BK$4:BK$312,'Safeguard facility data'!$A$4:$A$312,$A64,'Safeguard facility data'!BK$4:BK$312,"&gt;0"))</f>
        <v>72169</v>
      </c>
      <c r="E64" s="67">
        <f>(SUMIFS('Safeguard facility data'!BE$4:BE$312,'Safeguard facility data'!$A$4:$A$312,$A64,'Safeguard facility data'!BE$4:BE$312,"&gt;0"))-(SUMIFS('Safeguard facility data'!BL$4:BL$312,'Safeguard facility data'!$A$4:$A$312,$A64,'Safeguard facility data'!BL$4:BL$312,"&gt;0"))</f>
        <v>215233</v>
      </c>
      <c r="F64" s="67">
        <f>(SUMIFS('Safeguard facility data'!BF$4:BF$312,'Safeguard facility data'!$A$4:$A$312,$A64,'Safeguard facility data'!BF$4:BF$312,"&gt;0"))-(SUMIFS('Safeguard facility data'!BM$4:BM$312,'Safeguard facility data'!$A$4:$A$312,$A64,'Safeguard facility data'!BM$4:BM$312,"&gt;0"))</f>
        <v>240439</v>
      </c>
      <c r="G64" s="67"/>
      <c r="H64" s="67"/>
      <c r="I64" s="67"/>
      <c r="J64" s="67"/>
      <c r="K64" s="67"/>
      <c r="L64" s="67"/>
      <c r="M64" s="67"/>
      <c r="N64" s="67"/>
      <c r="O64" s="67"/>
      <c r="P64" s="67"/>
      <c r="Q64" s="67"/>
    </row>
    <row r="65" spans="1:17">
      <c r="A65" s="87" t="s">
        <v>355</v>
      </c>
      <c r="B65" s="67">
        <f>(SUMIFS('Safeguard facility data'!BB$4:BB$312,'Safeguard facility data'!$A$4:$A$312,$A65,'Safeguard facility data'!BB$4:BB$312,"&gt;0"))-(SUMIFS('Safeguard facility data'!BI$4:BI$312,'Safeguard facility data'!$A$4:$A$312,$A65,'Safeguard facility data'!BI$4:BI$312,"&gt;0"))</f>
        <v>110632</v>
      </c>
      <c r="C65" s="67">
        <f>(SUMIFS('Safeguard facility data'!BC$4:BC$312,'Safeguard facility data'!$A$4:$A$312,$A65,'Safeguard facility data'!BC$4:BC$312,"&gt;0"))-(SUMIFS('Safeguard facility data'!BJ$4:BJ$312,'Safeguard facility data'!$A$4:$A$312,$A65,'Safeguard facility data'!BJ$4:BJ$312,"&gt;0"))</f>
        <v>70673</v>
      </c>
      <c r="D65" s="67">
        <f>(SUMIFS('Safeguard facility data'!BD$4:BD$312,'Safeguard facility data'!$A$4:$A$312,$A65,'Safeguard facility data'!BD$4:BD$312,"&gt;0"))-(SUMIFS('Safeguard facility data'!BK$4:BK$312,'Safeguard facility data'!$A$4:$A$312,$A65,'Safeguard facility data'!BK$4:BK$312,"&gt;0"))</f>
        <v>67764</v>
      </c>
      <c r="E65" s="67">
        <f>(SUMIFS('Safeguard facility data'!BE$4:BE$312,'Safeguard facility data'!$A$4:$A$312,$A65,'Safeguard facility data'!BE$4:BE$312,"&gt;0"))-(SUMIFS('Safeguard facility data'!BL$4:BL$312,'Safeguard facility data'!$A$4:$A$312,$A65,'Safeguard facility data'!BL$4:BL$312,"&gt;0"))</f>
        <v>35813</v>
      </c>
      <c r="F65" s="67">
        <f>(SUMIFS('Safeguard facility data'!BF$4:BF$312,'Safeguard facility data'!$A$4:$A$312,$A65,'Safeguard facility data'!BF$4:BF$312,"&gt;0"))-(SUMIFS('Safeguard facility data'!BM$4:BM$312,'Safeguard facility data'!$A$4:$A$312,$A65,'Safeguard facility data'!BM$4:BM$312,"&gt;0"))</f>
        <v>32196</v>
      </c>
      <c r="G65" s="67"/>
      <c r="H65" s="67"/>
      <c r="I65" s="67"/>
      <c r="J65" s="67"/>
      <c r="K65" s="67"/>
      <c r="L65" s="67"/>
      <c r="M65" s="67"/>
      <c r="N65" s="67"/>
      <c r="O65" s="67"/>
      <c r="P65" s="67"/>
      <c r="Q65" s="67"/>
    </row>
    <row r="66" spans="1:17">
      <c r="A66" s="87" t="s">
        <v>356</v>
      </c>
      <c r="B66" s="67">
        <f>(SUMIFS('Safeguard facility data'!BB$4:BB$312,'Safeguard facility data'!$A$4:$A$312,$A66,'Safeguard facility data'!BB$4:BB$312,"&gt;0"))-(SUMIFS('Safeguard facility data'!BI$4:BI$312,'Safeguard facility data'!$A$4:$A$312,$A66,'Safeguard facility data'!BI$4:BI$312,"&gt;0"))</f>
        <v>703546</v>
      </c>
      <c r="C66" s="67">
        <f>(SUMIFS('Safeguard facility data'!BC$4:BC$312,'Safeguard facility data'!$A$4:$A$312,$A66,'Safeguard facility data'!BC$4:BC$312,"&gt;0"))-(SUMIFS('Safeguard facility data'!BJ$4:BJ$312,'Safeguard facility data'!$A$4:$A$312,$A66,'Safeguard facility data'!BJ$4:BJ$312,"&gt;0"))</f>
        <v>718056</v>
      </c>
      <c r="D66" s="67">
        <f>(SUMIFS('Safeguard facility data'!BD$4:BD$312,'Safeguard facility data'!$A$4:$A$312,$A66,'Safeguard facility data'!BD$4:BD$312,"&gt;0"))-(SUMIFS('Safeguard facility data'!BK$4:BK$312,'Safeguard facility data'!$A$4:$A$312,$A66,'Safeguard facility data'!BK$4:BK$312,"&gt;0"))</f>
        <v>597000</v>
      </c>
      <c r="E66" s="67">
        <f>(SUMIFS('Safeguard facility data'!BE$4:BE$312,'Safeguard facility data'!$A$4:$A$312,$A66,'Safeguard facility data'!BE$4:BE$312,"&gt;0"))-(SUMIFS('Safeguard facility data'!BL$4:BL$312,'Safeguard facility data'!$A$4:$A$312,$A66,'Safeguard facility data'!BL$4:BL$312,"&gt;0"))</f>
        <v>519068</v>
      </c>
      <c r="F66" s="67">
        <f>(SUMIFS('Safeguard facility data'!BF$4:BF$312,'Safeguard facility data'!$A$4:$A$312,$A66,'Safeguard facility data'!BF$4:BF$312,"&gt;0"))-(SUMIFS('Safeguard facility data'!BM$4:BM$312,'Safeguard facility data'!$A$4:$A$312,$A66,'Safeguard facility data'!BM$4:BM$312,"&gt;0"))</f>
        <v>522273</v>
      </c>
      <c r="G66" s="67"/>
      <c r="H66" s="67"/>
      <c r="I66" s="67"/>
      <c r="J66" s="67"/>
      <c r="K66" s="67"/>
      <c r="L66" s="67"/>
      <c r="M66" s="67"/>
      <c r="N66" s="67"/>
      <c r="O66" s="67"/>
      <c r="P66" s="67"/>
      <c r="Q66" s="67"/>
    </row>
    <row r="67" spans="1:17">
      <c r="A67" s="87" t="s">
        <v>357</v>
      </c>
      <c r="B67" s="67">
        <f>(SUMIFS('Safeguard facility data'!BB$4:BB$312,'Safeguard facility data'!$A$4:$A$312,$A67,'Safeguard facility data'!BB$4:BB$312,"&gt;0"))-(SUMIFS('Safeguard facility data'!BI$4:BI$312,'Safeguard facility data'!$A$4:$A$312,$A67,'Safeguard facility data'!BI$4:BI$312,"&gt;0"))</f>
        <v>486155</v>
      </c>
      <c r="C67" s="67">
        <f>(SUMIFS('Safeguard facility data'!BC$4:BC$312,'Safeguard facility data'!$A$4:$A$312,$A67,'Safeguard facility data'!BC$4:BC$312,"&gt;0"))-(SUMIFS('Safeguard facility data'!BJ$4:BJ$312,'Safeguard facility data'!$A$4:$A$312,$A67,'Safeguard facility data'!BJ$4:BJ$312,"&gt;0"))</f>
        <v>-94561</v>
      </c>
      <c r="D67" s="67">
        <f>(SUMIFS('Safeguard facility data'!BD$4:BD$312,'Safeguard facility data'!$A$4:$A$312,$A67,'Safeguard facility data'!BD$4:BD$312,"&gt;0"))-(SUMIFS('Safeguard facility data'!BK$4:BK$312,'Safeguard facility data'!$A$4:$A$312,$A67,'Safeguard facility data'!BK$4:BK$312,"&gt;0"))</f>
        <v>41478</v>
      </c>
      <c r="E67" s="67">
        <f>(SUMIFS('Safeguard facility data'!BE$4:BE$312,'Safeguard facility data'!$A$4:$A$312,$A67,'Safeguard facility data'!BE$4:BE$312,"&gt;0"))-(SUMIFS('Safeguard facility data'!BL$4:BL$312,'Safeguard facility data'!$A$4:$A$312,$A67,'Safeguard facility data'!BL$4:BL$312,"&gt;0"))</f>
        <v>-7937</v>
      </c>
      <c r="F67" s="67">
        <f>(SUMIFS('Safeguard facility data'!BF$4:BF$312,'Safeguard facility data'!$A$4:$A$312,$A67,'Safeguard facility data'!BF$4:BF$312,"&gt;0"))-(SUMIFS('Safeguard facility data'!BM$4:BM$312,'Safeguard facility data'!$A$4:$A$312,$A67,'Safeguard facility data'!BM$4:BM$312,"&gt;0"))</f>
        <v>402161</v>
      </c>
      <c r="G67" s="67"/>
      <c r="H67" s="67"/>
      <c r="I67" s="67"/>
      <c r="J67" s="67"/>
      <c r="K67" s="67"/>
      <c r="L67" s="67"/>
      <c r="M67" s="67"/>
      <c r="N67" s="67"/>
      <c r="O67" s="67"/>
      <c r="P67" s="67"/>
      <c r="Q67" s="67"/>
    </row>
    <row r="68" spans="1:17">
      <c r="A68" s="87" t="s">
        <v>358</v>
      </c>
      <c r="B68" s="67">
        <f>(SUMIFS('Safeguard facility data'!BB$4:BB$312,'Safeguard facility data'!$A$4:$A$312,$A68,'Safeguard facility data'!BB$4:BB$312,"&gt;0"))-(SUMIFS('Safeguard facility data'!BI$4:BI$312,'Safeguard facility data'!$A$4:$A$312,$A68,'Safeguard facility data'!BI$4:BI$312,"&gt;0"))</f>
        <v>104659</v>
      </c>
      <c r="C68" s="67">
        <f>(SUMIFS('Safeguard facility data'!BC$4:BC$312,'Safeguard facility data'!$A$4:$A$312,$A68,'Safeguard facility data'!BC$4:BC$312,"&gt;0"))-(SUMIFS('Safeguard facility data'!BJ$4:BJ$312,'Safeguard facility data'!$A$4:$A$312,$A68,'Safeguard facility data'!BJ$4:BJ$312,"&gt;0"))</f>
        <v>115372</v>
      </c>
      <c r="D68" s="67">
        <f>(SUMIFS('Safeguard facility data'!BD$4:BD$312,'Safeguard facility data'!$A$4:$A$312,$A68,'Safeguard facility data'!BD$4:BD$312,"&gt;0"))-(SUMIFS('Safeguard facility data'!BK$4:BK$312,'Safeguard facility data'!$A$4:$A$312,$A68,'Safeguard facility data'!BK$4:BK$312,"&gt;0"))</f>
        <v>197134</v>
      </c>
      <c r="E68" s="67">
        <f>(SUMIFS('Safeguard facility data'!BE$4:BE$312,'Safeguard facility data'!$A$4:$A$312,$A68,'Safeguard facility data'!BE$4:BE$312,"&gt;0"))-(SUMIFS('Safeguard facility data'!BL$4:BL$312,'Safeguard facility data'!$A$4:$A$312,$A68,'Safeguard facility data'!BL$4:BL$312,"&gt;0"))</f>
        <v>294493</v>
      </c>
      <c r="F68" s="67">
        <f>(SUMIFS('Safeguard facility data'!BF$4:BF$312,'Safeguard facility data'!$A$4:$A$312,$A68,'Safeguard facility data'!BF$4:BF$312,"&gt;0"))-(SUMIFS('Safeguard facility data'!BM$4:BM$312,'Safeguard facility data'!$A$4:$A$312,$A68,'Safeguard facility data'!BM$4:BM$312,"&gt;0"))</f>
        <v>157849</v>
      </c>
      <c r="G68" s="67"/>
      <c r="H68" s="67"/>
      <c r="I68" s="67"/>
      <c r="J68" s="67"/>
      <c r="K68" s="67"/>
      <c r="L68" s="67"/>
      <c r="M68" s="67"/>
      <c r="N68" s="67"/>
      <c r="O68" s="67"/>
      <c r="P68" s="67"/>
      <c r="Q68" s="67"/>
    </row>
    <row r="69" spans="1:17">
      <c r="A69" s="87" t="s">
        <v>359</v>
      </c>
      <c r="B69" s="67">
        <f>(SUMIFS('Safeguard facility data'!BB$4:BB$312,'Safeguard facility data'!$A$4:$A$312,$A69,'Safeguard facility data'!BB$4:BB$312,"&gt;0"))-(SUMIFS('Safeguard facility data'!BI$4:BI$312,'Safeguard facility data'!$A$4:$A$312,$A69,'Safeguard facility data'!BI$4:BI$312,"&gt;0"))</f>
        <v>126559</v>
      </c>
      <c r="C69" s="67">
        <f>(SUMIFS('Safeguard facility data'!BC$4:BC$312,'Safeguard facility data'!$A$4:$A$312,$A69,'Safeguard facility data'!BC$4:BC$312,"&gt;0"))-(SUMIFS('Safeguard facility data'!BJ$4:BJ$312,'Safeguard facility data'!$A$4:$A$312,$A69,'Safeguard facility data'!BJ$4:BJ$312,"&gt;0"))</f>
        <v>15335</v>
      </c>
      <c r="D69" s="67">
        <f>(SUMIFS('Safeguard facility data'!BD$4:BD$312,'Safeguard facility data'!$A$4:$A$312,$A69,'Safeguard facility data'!BD$4:BD$312,"&gt;0"))-(SUMIFS('Safeguard facility data'!BK$4:BK$312,'Safeguard facility data'!$A$4:$A$312,$A69,'Safeguard facility data'!BK$4:BK$312,"&gt;0"))</f>
        <v>11532</v>
      </c>
      <c r="E69" s="67">
        <f>(SUMIFS('Safeguard facility data'!BE$4:BE$312,'Safeguard facility data'!$A$4:$A$312,$A69,'Safeguard facility data'!BE$4:BE$312,"&gt;0"))-(SUMIFS('Safeguard facility data'!BL$4:BL$312,'Safeguard facility data'!$A$4:$A$312,$A69,'Safeguard facility data'!BL$4:BL$312,"&gt;0"))</f>
        <v>17300</v>
      </c>
      <c r="F69" s="67">
        <f>(SUMIFS('Safeguard facility data'!BF$4:BF$312,'Safeguard facility data'!$A$4:$A$312,$A69,'Safeguard facility data'!BF$4:BF$312,"&gt;0"))-(SUMIFS('Safeguard facility data'!BM$4:BM$312,'Safeguard facility data'!$A$4:$A$312,$A69,'Safeguard facility data'!BM$4:BM$312,"&gt;0"))</f>
        <v>6233</v>
      </c>
      <c r="G69" s="67"/>
      <c r="H69" s="67"/>
      <c r="I69" s="67"/>
      <c r="J69" s="67"/>
      <c r="K69" s="67"/>
      <c r="L69" s="67"/>
      <c r="M69" s="67"/>
      <c r="N69" s="67"/>
      <c r="O69" s="67"/>
      <c r="P69" s="67"/>
      <c r="Q69" s="67"/>
    </row>
    <row r="70" spans="1:17">
      <c r="A70" s="87" t="s">
        <v>360</v>
      </c>
      <c r="B70" s="67">
        <f>(SUMIFS('Safeguard facility data'!BB$4:BB$312,'Safeguard facility data'!$A$4:$A$312,$A70,'Safeguard facility data'!BB$4:BB$312,"&gt;0"))-(SUMIFS('Safeguard facility data'!BI$4:BI$312,'Safeguard facility data'!$A$4:$A$312,$A70,'Safeguard facility data'!BI$4:BI$312,"&gt;0"))</f>
        <v>128005</v>
      </c>
      <c r="C70" s="67">
        <f>(SUMIFS('Safeguard facility data'!BC$4:BC$312,'Safeguard facility data'!$A$4:$A$312,$A70,'Safeguard facility data'!BC$4:BC$312,"&gt;0"))-(SUMIFS('Safeguard facility data'!BJ$4:BJ$312,'Safeguard facility data'!$A$4:$A$312,$A70,'Safeguard facility data'!BJ$4:BJ$312,"&gt;0"))</f>
        <v>128005</v>
      </c>
      <c r="D70" s="67">
        <f>(SUMIFS('Safeguard facility data'!BD$4:BD$312,'Safeguard facility data'!$A$4:$A$312,$A70,'Safeguard facility data'!BD$4:BD$312,"&gt;0"))-(SUMIFS('Safeguard facility data'!BK$4:BK$312,'Safeguard facility data'!$A$4:$A$312,$A70,'Safeguard facility data'!BK$4:BK$312,"&gt;0"))</f>
        <v>14601</v>
      </c>
      <c r="E70" s="67">
        <f>(SUMIFS('Safeguard facility data'!BE$4:BE$312,'Safeguard facility data'!$A$4:$A$312,$A70,'Safeguard facility data'!BE$4:BE$312,"&gt;0"))-(SUMIFS('Safeguard facility data'!BL$4:BL$312,'Safeguard facility data'!$A$4:$A$312,$A70,'Safeguard facility data'!BL$4:BL$312,"&gt;0"))</f>
        <v>17377</v>
      </c>
      <c r="F70" s="67">
        <f>(SUMIFS('Safeguard facility data'!BF$4:BF$312,'Safeguard facility data'!$A$4:$A$312,$A70,'Safeguard facility data'!BF$4:BF$312,"&gt;0"))-(SUMIFS('Safeguard facility data'!BM$4:BM$312,'Safeguard facility data'!$A$4:$A$312,$A70,'Safeguard facility data'!BM$4:BM$312,"&gt;0"))</f>
        <v>11976</v>
      </c>
      <c r="G70" s="67"/>
      <c r="H70" s="67"/>
      <c r="I70" s="67"/>
      <c r="J70" s="67"/>
      <c r="K70" s="67"/>
      <c r="L70" s="67"/>
      <c r="M70" s="67"/>
      <c r="N70" s="67"/>
      <c r="O70" s="67"/>
      <c r="P70" s="67"/>
      <c r="Q70" s="67"/>
    </row>
    <row r="71" spans="1:17">
      <c r="A71" s="87" t="s">
        <v>361</v>
      </c>
      <c r="B71" s="67">
        <f>(SUMIFS('Safeguard facility data'!BB$4:BB$312,'Safeguard facility data'!$A$4:$A$312,$A71,'Safeguard facility data'!BB$4:BB$312,"&gt;0"))-(SUMIFS('Safeguard facility data'!BI$4:BI$312,'Safeguard facility data'!$A$4:$A$312,$A71,'Safeguard facility data'!BI$4:BI$312,"&gt;0"))</f>
        <v>119137</v>
      </c>
      <c r="C71" s="67">
        <f>(SUMIFS('Safeguard facility data'!BC$4:BC$312,'Safeguard facility data'!$A$4:$A$312,$A71,'Safeguard facility data'!BC$4:BC$312,"&gt;0"))-(SUMIFS('Safeguard facility data'!BJ$4:BJ$312,'Safeguard facility data'!$A$4:$A$312,$A71,'Safeguard facility data'!BJ$4:BJ$312,"&gt;0"))</f>
        <v>119137</v>
      </c>
      <c r="D71" s="67">
        <f>(SUMIFS('Safeguard facility data'!BD$4:BD$312,'Safeguard facility data'!$A$4:$A$312,$A71,'Safeguard facility data'!BD$4:BD$312,"&gt;0"))-(SUMIFS('Safeguard facility data'!BK$4:BK$312,'Safeguard facility data'!$A$4:$A$312,$A71,'Safeguard facility data'!BK$4:BK$312,"&gt;0"))</f>
        <v>119137</v>
      </c>
      <c r="E71" s="67">
        <f>(SUMIFS('Safeguard facility data'!BE$4:BE$312,'Safeguard facility data'!$A$4:$A$312,$A71,'Safeguard facility data'!BE$4:BE$312,"&gt;0"))-(SUMIFS('Safeguard facility data'!BL$4:BL$312,'Safeguard facility data'!$A$4:$A$312,$A71,'Safeguard facility data'!BL$4:BL$312,"&gt;0"))</f>
        <v>7048</v>
      </c>
      <c r="F71" s="67">
        <f>(SUMIFS('Safeguard facility data'!BF$4:BF$312,'Safeguard facility data'!$A$4:$A$312,$A71,'Safeguard facility data'!BF$4:BF$312,"&gt;0"))-(SUMIFS('Safeguard facility data'!BM$4:BM$312,'Safeguard facility data'!$A$4:$A$312,$A71,'Safeguard facility data'!BM$4:BM$312,"&gt;0"))</f>
        <v>119137</v>
      </c>
      <c r="G71" s="67"/>
      <c r="H71" s="67"/>
      <c r="I71" s="67"/>
      <c r="J71" s="67"/>
      <c r="K71" s="67"/>
      <c r="L71" s="67"/>
      <c r="M71" s="67"/>
      <c r="N71" s="67"/>
      <c r="O71" s="67"/>
      <c r="P71" s="67"/>
      <c r="Q71" s="67"/>
    </row>
    <row r="72" spans="1:17">
      <c r="A72" s="87" t="s">
        <v>362</v>
      </c>
      <c r="B72" s="67">
        <f>(SUMIFS('Safeguard facility data'!BB$4:BB$312,'Safeguard facility data'!$A$4:$A$312,$A72,'Safeguard facility data'!BB$4:BB$312,"&gt;0"))-(SUMIFS('Safeguard facility data'!BI$4:BI$312,'Safeguard facility data'!$A$4:$A$312,$A72,'Safeguard facility data'!BI$4:BI$312,"&gt;0"))</f>
        <v>32320</v>
      </c>
      <c r="C72" s="67">
        <f>(SUMIFS('Safeguard facility data'!BC$4:BC$312,'Safeguard facility data'!$A$4:$A$312,$A72,'Safeguard facility data'!BC$4:BC$312,"&gt;0"))-(SUMIFS('Safeguard facility data'!BJ$4:BJ$312,'Safeguard facility data'!$A$4:$A$312,$A72,'Safeguard facility data'!BJ$4:BJ$312,"&gt;0"))</f>
        <v>173149</v>
      </c>
      <c r="D72" s="67">
        <f>(SUMIFS('Safeguard facility data'!BD$4:BD$312,'Safeguard facility data'!$A$4:$A$312,$A72,'Safeguard facility data'!BD$4:BD$312,"&gt;0"))-(SUMIFS('Safeguard facility data'!BK$4:BK$312,'Safeguard facility data'!$A$4:$A$312,$A72,'Safeguard facility data'!BK$4:BK$312,"&gt;0"))</f>
        <v>94692</v>
      </c>
      <c r="E72" s="67">
        <f>(SUMIFS('Safeguard facility data'!BE$4:BE$312,'Safeguard facility data'!$A$4:$A$312,$A72,'Safeguard facility data'!BE$4:BE$312,"&gt;0"))-(SUMIFS('Safeguard facility data'!BL$4:BL$312,'Safeguard facility data'!$A$4:$A$312,$A72,'Safeguard facility data'!BL$4:BL$312,"&gt;0"))</f>
        <v>403678</v>
      </c>
      <c r="F72" s="67">
        <f>(SUMIFS('Safeguard facility data'!BF$4:BF$312,'Safeguard facility data'!$A$4:$A$312,$A72,'Safeguard facility data'!BF$4:BF$312,"&gt;0"))-(SUMIFS('Safeguard facility data'!BM$4:BM$312,'Safeguard facility data'!$A$4:$A$312,$A72,'Safeguard facility data'!BM$4:BM$312,"&gt;0"))</f>
        <v>-38545</v>
      </c>
      <c r="G72" s="67"/>
      <c r="H72" s="67"/>
      <c r="I72" s="67"/>
      <c r="J72" s="67"/>
      <c r="K72" s="67"/>
      <c r="L72" s="67"/>
      <c r="M72" s="67"/>
      <c r="N72" s="67"/>
      <c r="O72" s="67"/>
      <c r="P72" s="67"/>
      <c r="Q72" s="67"/>
    </row>
    <row r="73" spans="1:17">
      <c r="A73" s="87" t="s">
        <v>363</v>
      </c>
      <c r="B73" s="67">
        <f>(SUMIFS('Safeguard facility data'!BB$4:BB$312,'Safeguard facility data'!$A$4:$A$312,$A73,'Safeguard facility data'!BB$4:BB$312,"&gt;0"))-(SUMIFS('Safeguard facility data'!BI$4:BI$312,'Safeguard facility data'!$A$4:$A$312,$A73,'Safeguard facility data'!BI$4:BI$312,"&gt;0"))</f>
        <v>-24703</v>
      </c>
      <c r="C73" s="67">
        <f>(SUMIFS('Safeguard facility data'!BC$4:BC$312,'Safeguard facility data'!$A$4:$A$312,$A73,'Safeguard facility data'!BC$4:BC$312,"&gt;0"))-(SUMIFS('Safeguard facility data'!BJ$4:BJ$312,'Safeguard facility data'!$A$4:$A$312,$A73,'Safeguard facility data'!BJ$4:BJ$312,"&gt;0"))</f>
        <v>24024</v>
      </c>
      <c r="D73" s="67">
        <f>(SUMIFS('Safeguard facility data'!BD$4:BD$312,'Safeguard facility data'!$A$4:$A$312,$A73,'Safeguard facility data'!BD$4:BD$312,"&gt;0"))-(SUMIFS('Safeguard facility data'!BK$4:BK$312,'Safeguard facility data'!$A$4:$A$312,$A73,'Safeguard facility data'!BK$4:BK$312,"&gt;0"))</f>
        <v>66212</v>
      </c>
      <c r="E73" s="67">
        <f>(SUMIFS('Safeguard facility data'!BE$4:BE$312,'Safeguard facility data'!$A$4:$A$312,$A73,'Safeguard facility data'!BE$4:BE$312,"&gt;0"))-(SUMIFS('Safeguard facility data'!BL$4:BL$312,'Safeguard facility data'!$A$4:$A$312,$A73,'Safeguard facility data'!BL$4:BL$312,"&gt;0"))</f>
        <v>63220</v>
      </c>
      <c r="F73" s="67">
        <f>(SUMIFS('Safeguard facility data'!BF$4:BF$312,'Safeguard facility data'!$A$4:$A$312,$A73,'Safeguard facility data'!BF$4:BF$312,"&gt;0"))-(SUMIFS('Safeguard facility data'!BM$4:BM$312,'Safeguard facility data'!$A$4:$A$312,$A73,'Safeguard facility data'!BM$4:BM$312,"&gt;0"))</f>
        <v>48660</v>
      </c>
      <c r="G73" s="67"/>
      <c r="H73" s="67"/>
      <c r="I73" s="67"/>
      <c r="J73" s="67"/>
      <c r="K73" s="67"/>
      <c r="L73" s="67"/>
      <c r="M73" s="67"/>
      <c r="N73" s="67"/>
      <c r="O73" s="67"/>
      <c r="P73" s="67"/>
      <c r="Q73" s="67"/>
    </row>
    <row r="74" spans="1:17">
      <c r="A74" s="87" t="s">
        <v>364</v>
      </c>
      <c r="B74" s="67">
        <f>(SUMIFS('Safeguard facility data'!BB$4:BB$312,'Safeguard facility data'!$A$4:$A$312,$A74,'Safeguard facility data'!BB$4:BB$312,"&gt;0"))-(SUMIFS('Safeguard facility data'!BI$4:BI$312,'Safeguard facility data'!$A$4:$A$312,$A74,'Safeguard facility data'!BI$4:BI$312,"&gt;0"))</f>
        <v>123514</v>
      </c>
      <c r="C74" s="67">
        <f>(SUMIFS('Safeguard facility data'!BC$4:BC$312,'Safeguard facility data'!$A$4:$A$312,$A74,'Safeguard facility data'!BC$4:BC$312,"&gt;0"))-(SUMIFS('Safeguard facility data'!BJ$4:BJ$312,'Safeguard facility data'!$A$4:$A$312,$A74,'Safeguard facility data'!BJ$4:BJ$312,"&gt;0"))</f>
        <v>187823</v>
      </c>
      <c r="D74" s="67">
        <f>(SUMIFS('Safeguard facility data'!BD$4:BD$312,'Safeguard facility data'!$A$4:$A$312,$A74,'Safeguard facility data'!BD$4:BD$312,"&gt;0"))-(SUMIFS('Safeguard facility data'!BK$4:BK$312,'Safeguard facility data'!$A$4:$A$312,$A74,'Safeguard facility data'!BK$4:BK$312,"&gt;0"))</f>
        <v>100854</v>
      </c>
      <c r="E74" s="67">
        <f>(SUMIFS('Safeguard facility data'!BE$4:BE$312,'Safeguard facility data'!$A$4:$A$312,$A74,'Safeguard facility data'!BE$4:BE$312,"&gt;0"))-(SUMIFS('Safeguard facility data'!BL$4:BL$312,'Safeguard facility data'!$A$4:$A$312,$A74,'Safeguard facility data'!BL$4:BL$312,"&gt;0"))</f>
        <v>-22559</v>
      </c>
      <c r="F74" s="67">
        <f>(SUMIFS('Safeguard facility data'!BF$4:BF$312,'Safeguard facility data'!$A$4:$A$312,$A74,'Safeguard facility data'!BF$4:BF$312,"&gt;0"))-(SUMIFS('Safeguard facility data'!BM$4:BM$312,'Safeguard facility data'!$A$4:$A$312,$A74,'Safeguard facility data'!BM$4:BM$312,"&gt;0"))</f>
        <v>308346</v>
      </c>
      <c r="G74" s="67"/>
      <c r="H74" s="67"/>
      <c r="I74" s="67"/>
      <c r="J74" s="67"/>
      <c r="K74" s="67"/>
      <c r="L74" s="67"/>
      <c r="M74" s="67"/>
      <c r="N74" s="67"/>
      <c r="O74" s="67"/>
      <c r="P74" s="67"/>
      <c r="Q74" s="67"/>
    </row>
    <row r="75" spans="1:17">
      <c r="A75" s="87" t="s">
        <v>365</v>
      </c>
      <c r="B75" s="67">
        <f>(SUMIFS('Safeguard facility data'!BB$4:BB$312,'Safeguard facility data'!$A$4:$A$312,$A75,'Safeguard facility data'!BB$4:BB$312,"&gt;0"))-(SUMIFS('Safeguard facility data'!BI$4:BI$312,'Safeguard facility data'!$A$4:$A$312,$A75,'Safeguard facility data'!BI$4:BI$312,"&gt;0"))</f>
        <v>124983</v>
      </c>
      <c r="C75" s="67">
        <f>(SUMIFS('Safeguard facility data'!BC$4:BC$312,'Safeguard facility data'!$A$4:$A$312,$A75,'Safeguard facility data'!BC$4:BC$312,"&gt;0"))-(SUMIFS('Safeguard facility data'!BJ$4:BJ$312,'Safeguard facility data'!$A$4:$A$312,$A75,'Safeguard facility data'!BJ$4:BJ$312,"&gt;0"))</f>
        <v>109704</v>
      </c>
      <c r="D75" s="67">
        <f>(SUMIFS('Safeguard facility data'!BD$4:BD$312,'Safeguard facility data'!$A$4:$A$312,$A75,'Safeguard facility data'!BD$4:BD$312,"&gt;0"))-(SUMIFS('Safeguard facility data'!BK$4:BK$312,'Safeguard facility data'!$A$4:$A$312,$A75,'Safeguard facility data'!BK$4:BK$312,"&gt;0"))</f>
        <v>111618</v>
      </c>
      <c r="E75" s="67">
        <f>(SUMIFS('Safeguard facility data'!BE$4:BE$312,'Safeguard facility data'!$A$4:$A$312,$A75,'Safeguard facility data'!BE$4:BE$312,"&gt;0"))-(SUMIFS('Safeguard facility data'!BL$4:BL$312,'Safeguard facility data'!$A$4:$A$312,$A75,'Safeguard facility data'!BL$4:BL$312,"&gt;0"))</f>
        <v>90904</v>
      </c>
      <c r="F75" s="67">
        <f>(SUMIFS('Safeguard facility data'!BF$4:BF$312,'Safeguard facility data'!$A$4:$A$312,$A75,'Safeguard facility data'!BF$4:BF$312,"&gt;0"))-(SUMIFS('Safeguard facility data'!BM$4:BM$312,'Safeguard facility data'!$A$4:$A$312,$A75,'Safeguard facility data'!BM$4:BM$312,"&gt;0"))</f>
        <v>3093</v>
      </c>
      <c r="G75" s="67"/>
      <c r="H75" s="67"/>
      <c r="I75" s="67"/>
      <c r="J75" s="67"/>
      <c r="K75" s="67"/>
      <c r="L75" s="67"/>
      <c r="M75" s="67"/>
      <c r="N75" s="67"/>
      <c r="O75" s="67"/>
      <c r="P75" s="67"/>
      <c r="Q75" s="67"/>
    </row>
    <row r="76" spans="1:17">
      <c r="A76" s="87" t="s">
        <v>366</v>
      </c>
      <c r="B76" s="67">
        <f>(SUMIFS('Safeguard facility data'!BB$4:BB$312,'Safeguard facility data'!$A$4:$A$312,$A76,'Safeguard facility data'!BB$4:BB$312,"&gt;0"))-(SUMIFS('Safeguard facility data'!BI$4:BI$312,'Safeguard facility data'!$A$4:$A$312,$A76,'Safeguard facility data'!BI$4:BI$312,"&gt;0"))</f>
        <v>233589</v>
      </c>
      <c r="C76" s="67">
        <f>(SUMIFS('Safeguard facility data'!BC$4:BC$312,'Safeguard facility data'!$A$4:$A$312,$A76,'Safeguard facility data'!BC$4:BC$312,"&gt;0"))-(SUMIFS('Safeguard facility data'!BJ$4:BJ$312,'Safeguard facility data'!$A$4:$A$312,$A76,'Safeguard facility data'!BJ$4:BJ$312,"&gt;0"))</f>
        <v>270812</v>
      </c>
      <c r="D76" s="67">
        <f>(SUMIFS('Safeguard facility data'!BD$4:BD$312,'Safeguard facility data'!$A$4:$A$312,$A76,'Safeguard facility data'!BD$4:BD$312,"&gt;0"))-(SUMIFS('Safeguard facility data'!BK$4:BK$312,'Safeguard facility data'!$A$4:$A$312,$A76,'Safeguard facility data'!BK$4:BK$312,"&gt;0"))</f>
        <v>257381</v>
      </c>
      <c r="E76" s="67">
        <f>(SUMIFS('Safeguard facility data'!BE$4:BE$312,'Safeguard facility data'!$A$4:$A$312,$A76,'Safeguard facility data'!BE$4:BE$312,"&gt;0"))-(SUMIFS('Safeguard facility data'!BL$4:BL$312,'Safeguard facility data'!$A$4:$A$312,$A76,'Safeguard facility data'!BL$4:BL$312,"&gt;0"))</f>
        <v>259020</v>
      </c>
      <c r="F76" s="67">
        <f>(SUMIFS('Safeguard facility data'!BF$4:BF$312,'Safeguard facility data'!$A$4:$A$312,$A76,'Safeguard facility data'!BF$4:BF$312,"&gt;0"))-(SUMIFS('Safeguard facility data'!BM$4:BM$312,'Safeguard facility data'!$A$4:$A$312,$A76,'Safeguard facility data'!BM$4:BM$312,"&gt;0"))</f>
        <v>212241</v>
      </c>
      <c r="G76" s="67"/>
      <c r="H76" s="67"/>
      <c r="I76" s="67"/>
      <c r="J76" s="67"/>
      <c r="K76" s="67"/>
      <c r="L76" s="67"/>
      <c r="M76" s="67"/>
      <c r="N76" s="67"/>
      <c r="O76" s="67"/>
      <c r="P76" s="67"/>
      <c r="Q76" s="67"/>
    </row>
    <row r="77" spans="1:17">
      <c r="A77" s="87" t="s">
        <v>367</v>
      </c>
      <c r="B77" s="67">
        <f>(SUMIFS('Safeguard facility data'!BB$4:BB$312,'Safeguard facility data'!$A$4:$A$312,$A77,'Safeguard facility data'!BB$4:BB$312,"&gt;0"))-(SUMIFS('Safeguard facility data'!BI$4:BI$312,'Safeguard facility data'!$A$4:$A$312,$A77,'Safeguard facility data'!BI$4:BI$312,"&gt;0"))</f>
        <v>101225</v>
      </c>
      <c r="C77" s="67">
        <f>(SUMIFS('Safeguard facility data'!BC$4:BC$312,'Safeguard facility data'!$A$4:$A$312,$A77,'Safeguard facility data'!BC$4:BC$312,"&gt;0"))-(SUMIFS('Safeguard facility data'!BJ$4:BJ$312,'Safeguard facility data'!$A$4:$A$312,$A77,'Safeguard facility data'!BJ$4:BJ$312,"&gt;0"))</f>
        <v>101225</v>
      </c>
      <c r="D77" s="67">
        <f>(SUMIFS('Safeguard facility data'!BD$4:BD$312,'Safeguard facility data'!$A$4:$A$312,$A77,'Safeguard facility data'!BD$4:BD$312,"&gt;0"))-(SUMIFS('Safeguard facility data'!BK$4:BK$312,'Safeguard facility data'!$A$4:$A$312,$A77,'Safeguard facility data'!BK$4:BK$312,"&gt;0"))</f>
        <v>-5091</v>
      </c>
      <c r="E77" s="67">
        <f>(SUMIFS('Safeguard facility data'!BE$4:BE$312,'Safeguard facility data'!$A$4:$A$312,$A77,'Safeguard facility data'!BE$4:BE$312,"&gt;0"))-(SUMIFS('Safeguard facility data'!BL$4:BL$312,'Safeguard facility data'!$A$4:$A$312,$A77,'Safeguard facility data'!BL$4:BL$312,"&gt;0"))</f>
        <v>-6430</v>
      </c>
      <c r="F77" s="67">
        <f>(SUMIFS('Safeguard facility data'!BF$4:BF$312,'Safeguard facility data'!$A$4:$A$312,$A77,'Safeguard facility data'!BF$4:BF$312,"&gt;0"))-(SUMIFS('Safeguard facility data'!BM$4:BM$312,'Safeguard facility data'!$A$4:$A$312,$A77,'Safeguard facility data'!BM$4:BM$312,"&gt;0"))</f>
        <v>1138</v>
      </c>
      <c r="G77" s="67"/>
      <c r="H77" s="67"/>
      <c r="I77" s="67"/>
      <c r="J77" s="67"/>
      <c r="K77" s="67"/>
      <c r="L77" s="67"/>
      <c r="M77" s="67"/>
      <c r="N77" s="67"/>
      <c r="O77" s="67"/>
      <c r="P77" s="67"/>
      <c r="Q77" s="67"/>
    </row>
    <row r="78" spans="1:17">
      <c r="A78" s="87" t="s">
        <v>368</v>
      </c>
      <c r="B78" s="67">
        <f>(SUMIFS('Safeguard facility data'!BB$4:BB$312,'Safeguard facility data'!$A$4:$A$312,$A78,'Safeguard facility data'!BB$4:BB$312,"&gt;0"))-(SUMIFS('Safeguard facility data'!BI$4:BI$312,'Safeguard facility data'!$A$4:$A$312,$A78,'Safeguard facility data'!BI$4:BI$312,"&gt;0"))</f>
        <v>42926</v>
      </c>
      <c r="C78" s="67">
        <f>(SUMIFS('Safeguard facility data'!BC$4:BC$312,'Safeguard facility data'!$A$4:$A$312,$A78,'Safeguard facility data'!BC$4:BC$312,"&gt;0"))-(SUMIFS('Safeguard facility data'!BJ$4:BJ$312,'Safeguard facility data'!$A$4:$A$312,$A78,'Safeguard facility data'!BJ$4:BJ$312,"&gt;0"))</f>
        <v>2701</v>
      </c>
      <c r="D78" s="67">
        <f>(SUMIFS('Safeguard facility data'!BD$4:BD$312,'Safeguard facility data'!$A$4:$A$312,$A78,'Safeguard facility data'!BD$4:BD$312,"&gt;0"))-(SUMIFS('Safeguard facility data'!BK$4:BK$312,'Safeguard facility data'!$A$4:$A$312,$A78,'Safeguard facility data'!BK$4:BK$312,"&gt;0"))</f>
        <v>34432</v>
      </c>
      <c r="E78" s="67">
        <f>(SUMIFS('Safeguard facility data'!BE$4:BE$312,'Safeguard facility data'!$A$4:$A$312,$A78,'Safeguard facility data'!BE$4:BE$312,"&gt;0"))-(SUMIFS('Safeguard facility data'!BL$4:BL$312,'Safeguard facility data'!$A$4:$A$312,$A78,'Safeguard facility data'!BL$4:BL$312,"&gt;0"))</f>
        <v>46130</v>
      </c>
      <c r="F78" s="67">
        <f>(SUMIFS('Safeguard facility data'!BF$4:BF$312,'Safeguard facility data'!$A$4:$A$312,$A78,'Safeguard facility data'!BF$4:BF$312,"&gt;0"))-(SUMIFS('Safeguard facility data'!BM$4:BM$312,'Safeguard facility data'!$A$4:$A$312,$A78,'Safeguard facility data'!BM$4:BM$312,"&gt;0"))</f>
        <v>18060</v>
      </c>
      <c r="G78" s="67"/>
      <c r="H78" s="67"/>
      <c r="I78" s="67"/>
      <c r="J78" s="67"/>
      <c r="K78" s="67"/>
      <c r="L78" s="67"/>
      <c r="M78" s="67"/>
      <c r="N78" s="67"/>
      <c r="O78" s="67"/>
      <c r="P78" s="67"/>
      <c r="Q78" s="67"/>
    </row>
    <row r="79" spans="1:17">
      <c r="A79" s="87" t="s">
        <v>369</v>
      </c>
      <c r="B79" s="67">
        <f>(SUMIFS('Safeguard facility data'!BB$4:BB$312,'Safeguard facility data'!$A$4:$A$312,$A79,'Safeguard facility data'!BB$4:BB$312,"&gt;0"))-(SUMIFS('Safeguard facility data'!BI$4:BI$312,'Safeguard facility data'!$A$4:$A$312,$A79,'Safeguard facility data'!BI$4:BI$312,"&gt;0"))</f>
        <v>363242</v>
      </c>
      <c r="C79" s="67">
        <f>(SUMIFS('Safeguard facility data'!BC$4:BC$312,'Safeguard facility data'!$A$4:$A$312,$A79,'Safeguard facility data'!BC$4:BC$312,"&gt;0"))-(SUMIFS('Safeguard facility data'!BJ$4:BJ$312,'Safeguard facility data'!$A$4:$A$312,$A79,'Safeguard facility data'!BJ$4:BJ$312,"&gt;0"))</f>
        <v>373969</v>
      </c>
      <c r="D79" s="67">
        <f>(SUMIFS('Safeguard facility data'!BD$4:BD$312,'Safeguard facility data'!$A$4:$A$312,$A79,'Safeguard facility data'!BD$4:BD$312,"&gt;0"))-(SUMIFS('Safeguard facility data'!BK$4:BK$312,'Safeguard facility data'!$A$4:$A$312,$A79,'Safeguard facility data'!BK$4:BK$312,"&gt;0"))</f>
        <v>369995</v>
      </c>
      <c r="E79" s="67">
        <f>(SUMIFS('Safeguard facility data'!BE$4:BE$312,'Safeguard facility data'!$A$4:$A$312,$A79,'Safeguard facility data'!BE$4:BE$312,"&gt;0"))-(SUMIFS('Safeguard facility data'!BL$4:BL$312,'Safeguard facility data'!$A$4:$A$312,$A79,'Safeguard facility data'!BL$4:BL$312,"&gt;0"))</f>
        <v>372559</v>
      </c>
      <c r="F79" s="67">
        <f>(SUMIFS('Safeguard facility data'!BF$4:BF$312,'Safeguard facility data'!$A$4:$A$312,$A79,'Safeguard facility data'!BF$4:BF$312,"&gt;0"))-(SUMIFS('Safeguard facility data'!BM$4:BM$312,'Safeguard facility data'!$A$4:$A$312,$A79,'Safeguard facility data'!BM$4:BM$312,"&gt;0"))</f>
        <v>374523</v>
      </c>
      <c r="G79" s="67"/>
      <c r="H79" s="67"/>
      <c r="I79" s="67"/>
      <c r="J79" s="67"/>
      <c r="K79" s="67"/>
      <c r="L79" s="67"/>
      <c r="M79" s="67"/>
      <c r="N79" s="67"/>
      <c r="O79" s="67"/>
      <c r="P79" s="67"/>
      <c r="Q79" s="67"/>
    </row>
    <row r="80" spans="1:17">
      <c r="A80" s="87" t="s">
        <v>370</v>
      </c>
      <c r="B80" s="67">
        <f>(SUMIFS('Safeguard facility data'!BB$4:BB$312,'Safeguard facility data'!$A$4:$A$312,$A80,'Safeguard facility data'!BB$4:BB$312,"&gt;0"))-(SUMIFS('Safeguard facility data'!BI$4:BI$312,'Safeguard facility data'!$A$4:$A$312,$A80,'Safeguard facility data'!BI$4:BI$312,"&gt;0"))</f>
        <v>0</v>
      </c>
      <c r="C80" s="67">
        <f>(SUMIFS('Safeguard facility data'!BC$4:BC$312,'Safeguard facility data'!$A$4:$A$312,$A80,'Safeguard facility data'!BC$4:BC$312,"&gt;0"))-(SUMIFS('Safeguard facility data'!BJ$4:BJ$312,'Safeguard facility data'!$A$4:$A$312,$A80,'Safeguard facility data'!BJ$4:BJ$312,"&gt;0"))</f>
        <v>0</v>
      </c>
      <c r="D80" s="67">
        <f>(SUMIFS('Safeguard facility data'!BD$4:BD$312,'Safeguard facility data'!$A$4:$A$312,$A80,'Safeguard facility data'!BD$4:BD$312,"&gt;0"))-(SUMIFS('Safeguard facility data'!BK$4:BK$312,'Safeguard facility data'!$A$4:$A$312,$A80,'Safeguard facility data'!BK$4:BK$312,"&gt;0"))</f>
        <v>0</v>
      </c>
      <c r="E80" s="67">
        <f>(SUMIFS('Safeguard facility data'!BE$4:BE$312,'Safeguard facility data'!$A$4:$A$312,$A80,'Safeguard facility data'!BE$4:BE$312,"&gt;0"))-(SUMIFS('Safeguard facility data'!BL$4:BL$312,'Safeguard facility data'!$A$4:$A$312,$A80,'Safeguard facility data'!BL$4:BL$312,"&gt;0"))</f>
        <v>0</v>
      </c>
      <c r="F80" s="67">
        <f>(SUMIFS('Safeguard facility data'!BF$4:BF$312,'Safeguard facility data'!$A$4:$A$312,$A80,'Safeguard facility data'!BF$4:BF$312,"&gt;0"))-(SUMIFS('Safeguard facility data'!BM$4:BM$312,'Safeguard facility data'!$A$4:$A$312,$A80,'Safeguard facility data'!BM$4:BM$312,"&gt;0"))</f>
        <v>7217</v>
      </c>
      <c r="G80" s="67"/>
      <c r="H80" s="67"/>
      <c r="I80" s="67"/>
      <c r="J80" s="67"/>
      <c r="K80" s="67"/>
      <c r="L80" s="67"/>
      <c r="M80" s="67"/>
      <c r="N80" s="67"/>
      <c r="O80" s="67"/>
      <c r="P80" s="67"/>
      <c r="Q80" s="67"/>
    </row>
    <row r="81" spans="1:17">
      <c r="A81" s="87" t="s">
        <v>371</v>
      </c>
      <c r="B81" s="67">
        <f>(SUMIFS('Safeguard facility data'!BB$4:BB$312,'Safeguard facility data'!$A$4:$A$312,$A81,'Safeguard facility data'!BB$4:BB$312,"&gt;0"))-(SUMIFS('Safeguard facility data'!BI$4:BI$312,'Safeguard facility data'!$A$4:$A$312,$A81,'Safeguard facility data'!BI$4:BI$312,"&gt;0"))</f>
        <v>170557</v>
      </c>
      <c r="C81" s="67">
        <f>(SUMIFS('Safeguard facility data'!BC$4:BC$312,'Safeguard facility data'!$A$4:$A$312,$A81,'Safeguard facility data'!BC$4:BC$312,"&gt;0"))-(SUMIFS('Safeguard facility data'!BJ$4:BJ$312,'Safeguard facility data'!$A$4:$A$312,$A81,'Safeguard facility data'!BJ$4:BJ$312,"&gt;0"))</f>
        <v>170557</v>
      </c>
      <c r="D81" s="67">
        <f>(SUMIFS('Safeguard facility data'!BD$4:BD$312,'Safeguard facility data'!$A$4:$A$312,$A81,'Safeguard facility data'!BD$4:BD$312,"&gt;0"))-(SUMIFS('Safeguard facility data'!BK$4:BK$312,'Safeguard facility data'!$A$4:$A$312,$A81,'Safeguard facility data'!BK$4:BK$312,"&gt;0"))</f>
        <v>170557</v>
      </c>
      <c r="E81" s="67">
        <f>(SUMIFS('Safeguard facility data'!BE$4:BE$312,'Safeguard facility data'!$A$4:$A$312,$A81,'Safeguard facility data'!BE$4:BE$312,"&gt;0"))-(SUMIFS('Safeguard facility data'!BL$4:BL$312,'Safeguard facility data'!$A$4:$A$312,$A81,'Safeguard facility data'!BL$4:BL$312,"&gt;0"))</f>
        <v>170557</v>
      </c>
      <c r="F81" s="67">
        <f>(SUMIFS('Safeguard facility data'!BF$4:BF$312,'Safeguard facility data'!$A$4:$A$312,$A81,'Safeguard facility data'!BF$4:BF$312,"&gt;0"))-(SUMIFS('Safeguard facility data'!BM$4:BM$312,'Safeguard facility data'!$A$4:$A$312,$A81,'Safeguard facility data'!BM$4:BM$312,"&gt;0"))</f>
        <v>186432</v>
      </c>
      <c r="G81" s="67"/>
      <c r="H81" s="67"/>
      <c r="I81" s="67"/>
      <c r="J81" s="67"/>
      <c r="K81" s="67"/>
      <c r="L81" s="67"/>
      <c r="M81" s="67"/>
      <c r="N81" s="67"/>
      <c r="O81" s="67"/>
      <c r="P81" s="67"/>
      <c r="Q81" s="67"/>
    </row>
    <row r="82" spans="1:17">
      <c r="A82" s="87" t="s">
        <v>372</v>
      </c>
      <c r="B82" s="67">
        <f>(SUMIFS('Safeguard facility data'!BB$4:BB$312,'Safeguard facility data'!$A$4:$A$312,$A82,'Safeguard facility data'!BB$4:BB$312,"&gt;0"))-(SUMIFS('Safeguard facility data'!BI$4:BI$312,'Safeguard facility data'!$A$4:$A$312,$A82,'Safeguard facility data'!BI$4:BI$312,"&gt;0"))</f>
        <v>151530</v>
      </c>
      <c r="C82" s="67">
        <f>(SUMIFS('Safeguard facility data'!BC$4:BC$312,'Safeguard facility data'!$A$4:$A$312,$A82,'Safeguard facility data'!BC$4:BC$312,"&gt;0"))-(SUMIFS('Safeguard facility data'!BJ$4:BJ$312,'Safeguard facility data'!$A$4:$A$312,$A82,'Safeguard facility data'!BJ$4:BJ$312,"&gt;0"))</f>
        <v>151530</v>
      </c>
      <c r="D82" s="67">
        <f>(SUMIFS('Safeguard facility data'!BD$4:BD$312,'Safeguard facility data'!$A$4:$A$312,$A82,'Safeguard facility data'!BD$4:BD$312,"&gt;0"))-(SUMIFS('Safeguard facility data'!BK$4:BK$312,'Safeguard facility data'!$A$4:$A$312,$A82,'Safeguard facility data'!BK$4:BK$312,"&gt;0"))</f>
        <v>151530</v>
      </c>
      <c r="E82" s="67">
        <f>(SUMIFS('Safeguard facility data'!BE$4:BE$312,'Safeguard facility data'!$A$4:$A$312,$A82,'Safeguard facility data'!BE$4:BE$312,"&gt;0"))-(SUMIFS('Safeguard facility data'!BL$4:BL$312,'Safeguard facility data'!$A$4:$A$312,$A82,'Safeguard facility data'!BL$4:BL$312,"&gt;0"))</f>
        <v>151530</v>
      </c>
      <c r="F82" s="67">
        <f>(SUMIFS('Safeguard facility data'!BF$4:BF$312,'Safeguard facility data'!$A$4:$A$312,$A82,'Safeguard facility data'!BF$4:BF$312,"&gt;0"))-(SUMIFS('Safeguard facility data'!BM$4:BM$312,'Safeguard facility data'!$A$4:$A$312,$A82,'Safeguard facility data'!BM$4:BM$312,"&gt;0"))</f>
        <v>151530</v>
      </c>
      <c r="G82" s="67"/>
      <c r="H82" s="67"/>
      <c r="I82" s="67"/>
      <c r="J82" s="67"/>
      <c r="K82" s="67"/>
      <c r="L82" s="67"/>
      <c r="M82" s="67"/>
      <c r="N82" s="67"/>
      <c r="O82" s="67"/>
      <c r="P82" s="67"/>
      <c r="Q82" s="67"/>
    </row>
    <row r="83" spans="1:17">
      <c r="A83" s="87" t="s">
        <v>373</v>
      </c>
      <c r="B83" s="67">
        <f>(SUMIFS('Safeguard facility data'!BB$4:BB$312,'Safeguard facility data'!$A$4:$A$312,$A83,'Safeguard facility data'!BB$4:BB$312,"&gt;0"))-(SUMIFS('Safeguard facility data'!BI$4:BI$312,'Safeguard facility data'!$A$4:$A$312,$A83,'Safeguard facility data'!BI$4:BI$312,"&gt;0"))</f>
        <v>11577</v>
      </c>
      <c r="C83" s="67">
        <f>(SUMIFS('Safeguard facility data'!BC$4:BC$312,'Safeguard facility data'!$A$4:$A$312,$A83,'Safeguard facility data'!BC$4:BC$312,"&gt;0"))-(SUMIFS('Safeguard facility data'!BJ$4:BJ$312,'Safeguard facility data'!$A$4:$A$312,$A83,'Safeguard facility data'!BJ$4:BJ$312,"&gt;0"))</f>
        <v>28279</v>
      </c>
      <c r="D83" s="67">
        <f>(SUMIFS('Safeguard facility data'!BD$4:BD$312,'Safeguard facility data'!$A$4:$A$312,$A83,'Safeguard facility data'!BD$4:BD$312,"&gt;0"))-(SUMIFS('Safeguard facility data'!BK$4:BK$312,'Safeguard facility data'!$A$4:$A$312,$A83,'Safeguard facility data'!BK$4:BK$312,"&gt;0"))</f>
        <v>153846</v>
      </c>
      <c r="E83" s="67">
        <f>(SUMIFS('Safeguard facility data'!BE$4:BE$312,'Safeguard facility data'!$A$4:$A$312,$A83,'Safeguard facility data'!BE$4:BE$312,"&gt;0"))-(SUMIFS('Safeguard facility data'!BL$4:BL$312,'Safeguard facility data'!$A$4:$A$312,$A83,'Safeguard facility data'!BL$4:BL$312,"&gt;0"))</f>
        <v>153846</v>
      </c>
      <c r="F83" s="67">
        <f>(SUMIFS('Safeguard facility data'!BF$4:BF$312,'Safeguard facility data'!$A$4:$A$312,$A83,'Safeguard facility data'!BF$4:BF$312,"&gt;0"))-(SUMIFS('Safeguard facility data'!BM$4:BM$312,'Safeguard facility data'!$A$4:$A$312,$A83,'Safeguard facility data'!BM$4:BM$312,"&gt;0"))</f>
        <v>0</v>
      </c>
      <c r="G83" s="67"/>
      <c r="H83" s="67"/>
      <c r="I83" s="67"/>
      <c r="J83" s="67"/>
      <c r="K83" s="67"/>
      <c r="L83" s="67"/>
      <c r="M83" s="67"/>
      <c r="N83" s="67"/>
      <c r="O83" s="67"/>
      <c r="P83" s="67"/>
      <c r="Q83" s="67"/>
    </row>
    <row r="84" spans="1:17">
      <c r="A84" s="87" t="s">
        <v>374</v>
      </c>
      <c r="B84" s="67">
        <f>(SUMIFS('Safeguard facility data'!BB$4:BB$312,'Safeguard facility data'!$A$4:$A$312,$A84,'Safeguard facility data'!BB$4:BB$312,"&gt;0"))-(SUMIFS('Safeguard facility data'!BI$4:BI$312,'Safeguard facility data'!$A$4:$A$312,$A84,'Safeguard facility data'!BI$4:BI$312,"&gt;0"))</f>
        <v>-1632</v>
      </c>
      <c r="C84" s="67">
        <f>(SUMIFS('Safeguard facility data'!BC$4:BC$312,'Safeguard facility data'!$A$4:$A$312,$A84,'Safeguard facility data'!BC$4:BC$312,"&gt;0"))-(SUMIFS('Safeguard facility data'!BJ$4:BJ$312,'Safeguard facility data'!$A$4:$A$312,$A84,'Safeguard facility data'!BJ$4:BJ$312,"&gt;0"))</f>
        <v>9799</v>
      </c>
      <c r="D84" s="67">
        <f>(SUMIFS('Safeguard facility data'!BD$4:BD$312,'Safeguard facility data'!$A$4:$A$312,$A84,'Safeguard facility data'!BD$4:BD$312,"&gt;0"))-(SUMIFS('Safeguard facility data'!BK$4:BK$312,'Safeguard facility data'!$A$4:$A$312,$A84,'Safeguard facility data'!BK$4:BK$312,"&gt;0"))</f>
        <v>5108</v>
      </c>
      <c r="E84" s="67">
        <f>(SUMIFS('Safeguard facility data'!BE$4:BE$312,'Safeguard facility data'!$A$4:$A$312,$A84,'Safeguard facility data'!BE$4:BE$312,"&gt;0"))-(SUMIFS('Safeguard facility data'!BL$4:BL$312,'Safeguard facility data'!$A$4:$A$312,$A84,'Safeguard facility data'!BL$4:BL$312,"&gt;0"))</f>
        <v>0</v>
      </c>
      <c r="F84" s="67">
        <f>(SUMIFS('Safeguard facility data'!BF$4:BF$312,'Safeguard facility data'!$A$4:$A$312,$A84,'Safeguard facility data'!BF$4:BF$312,"&gt;0"))-(SUMIFS('Safeguard facility data'!BM$4:BM$312,'Safeguard facility data'!$A$4:$A$312,$A84,'Safeguard facility data'!BM$4:BM$312,"&gt;0"))</f>
        <v>0</v>
      </c>
      <c r="G84" s="67"/>
      <c r="H84" s="67"/>
      <c r="I84" s="67"/>
      <c r="J84" s="67"/>
      <c r="K84" s="67"/>
      <c r="L84" s="67"/>
      <c r="M84" s="67"/>
      <c r="N84" s="67"/>
      <c r="O84" s="67"/>
      <c r="P84" s="67"/>
      <c r="Q84" s="67"/>
    </row>
    <row r="85" spans="1:17">
      <c r="A85" s="87" t="s">
        <v>375</v>
      </c>
      <c r="B85" s="67">
        <f>(SUMIFS('Safeguard facility data'!BB$4:BB$312,'Safeguard facility data'!$A$4:$A$312,$A85,'Safeguard facility data'!BB$4:BB$312,"&gt;0"))-(SUMIFS('Safeguard facility data'!BI$4:BI$312,'Safeguard facility data'!$A$4:$A$312,$A85,'Safeguard facility data'!BI$4:BI$312,"&gt;0"))</f>
        <v>0</v>
      </c>
      <c r="C85" s="67">
        <f>(SUMIFS('Safeguard facility data'!BC$4:BC$312,'Safeguard facility data'!$A$4:$A$312,$A85,'Safeguard facility data'!BC$4:BC$312,"&gt;0"))-(SUMIFS('Safeguard facility data'!BJ$4:BJ$312,'Safeguard facility data'!$A$4:$A$312,$A85,'Safeguard facility data'!BJ$4:BJ$312,"&gt;0"))</f>
        <v>0</v>
      </c>
      <c r="D85" s="67">
        <f>(SUMIFS('Safeguard facility data'!BD$4:BD$312,'Safeguard facility data'!$A$4:$A$312,$A85,'Safeguard facility data'!BD$4:BD$312,"&gt;0"))-(SUMIFS('Safeguard facility data'!BK$4:BK$312,'Safeguard facility data'!$A$4:$A$312,$A85,'Safeguard facility data'!BK$4:BK$312,"&gt;0"))</f>
        <v>0</v>
      </c>
      <c r="E85" s="67">
        <f>(SUMIFS('Safeguard facility data'!BE$4:BE$312,'Safeguard facility data'!$A$4:$A$312,$A85,'Safeguard facility data'!BE$4:BE$312,"&gt;0"))-(SUMIFS('Safeguard facility data'!BL$4:BL$312,'Safeguard facility data'!$A$4:$A$312,$A85,'Safeguard facility data'!BL$4:BL$312,"&gt;0"))</f>
        <v>0</v>
      </c>
      <c r="F85" s="67">
        <f>(SUMIFS('Safeguard facility data'!BF$4:BF$312,'Safeguard facility data'!$A$4:$A$312,$A85,'Safeguard facility data'!BF$4:BF$312,"&gt;0"))-(SUMIFS('Safeguard facility data'!BM$4:BM$312,'Safeguard facility data'!$A$4:$A$312,$A85,'Safeguard facility data'!BM$4:BM$312,"&gt;0"))</f>
        <v>199022</v>
      </c>
      <c r="G85" s="67"/>
      <c r="H85" s="67"/>
      <c r="I85" s="67"/>
      <c r="J85" s="67"/>
      <c r="K85" s="67"/>
      <c r="L85" s="67"/>
      <c r="M85" s="67"/>
      <c r="N85" s="67"/>
      <c r="O85" s="67"/>
      <c r="P85" s="67"/>
      <c r="Q85" s="67"/>
    </row>
    <row r="86" spans="1:17">
      <c r="A86" s="87" t="s">
        <v>376</v>
      </c>
      <c r="B86" s="67">
        <f>(SUMIFS('Safeguard facility data'!BB$4:BB$312,'Safeguard facility data'!$A$4:$A$312,$A86,'Safeguard facility data'!BB$4:BB$312,"&gt;0"))-(SUMIFS('Safeguard facility data'!BI$4:BI$312,'Safeguard facility data'!$A$4:$A$312,$A86,'Safeguard facility data'!BI$4:BI$312,"&gt;0"))</f>
        <v>157424</v>
      </c>
      <c r="C86" s="67">
        <f>(SUMIFS('Safeguard facility data'!BC$4:BC$312,'Safeguard facility data'!$A$4:$A$312,$A86,'Safeguard facility data'!BC$4:BC$312,"&gt;0"))-(SUMIFS('Safeguard facility data'!BJ$4:BJ$312,'Safeguard facility data'!$A$4:$A$312,$A86,'Safeguard facility data'!BJ$4:BJ$312,"&gt;0"))</f>
        <v>157424</v>
      </c>
      <c r="D86" s="67">
        <f>(SUMIFS('Safeguard facility data'!BD$4:BD$312,'Safeguard facility data'!$A$4:$A$312,$A86,'Safeguard facility data'!BD$4:BD$312,"&gt;0"))-(SUMIFS('Safeguard facility data'!BK$4:BK$312,'Safeguard facility data'!$A$4:$A$312,$A86,'Safeguard facility data'!BK$4:BK$312,"&gt;0"))</f>
        <v>157424</v>
      </c>
      <c r="E86" s="67">
        <f>(SUMIFS('Safeguard facility data'!BE$4:BE$312,'Safeguard facility data'!$A$4:$A$312,$A86,'Safeguard facility data'!BE$4:BE$312,"&gt;0"))-(SUMIFS('Safeguard facility data'!BL$4:BL$312,'Safeguard facility data'!$A$4:$A$312,$A86,'Safeguard facility data'!BL$4:BL$312,"&gt;0"))</f>
        <v>157424</v>
      </c>
      <c r="F86" s="67">
        <f>(SUMIFS('Safeguard facility data'!BF$4:BF$312,'Safeguard facility data'!$A$4:$A$312,$A86,'Safeguard facility data'!BF$4:BF$312,"&gt;0"))-(SUMIFS('Safeguard facility data'!BM$4:BM$312,'Safeguard facility data'!$A$4:$A$312,$A86,'Safeguard facility data'!BM$4:BM$312,"&gt;0"))</f>
        <v>176057</v>
      </c>
      <c r="G86" s="67"/>
      <c r="H86" s="67"/>
      <c r="I86" s="67"/>
      <c r="J86" s="67"/>
      <c r="K86" s="67"/>
      <c r="L86" s="67"/>
      <c r="M86" s="67"/>
      <c r="N86" s="67"/>
      <c r="O86" s="67"/>
      <c r="P86" s="67"/>
      <c r="Q86" s="67"/>
    </row>
    <row r="87" spans="1:17">
      <c r="A87" s="87" t="s">
        <v>377</v>
      </c>
      <c r="B87" s="67">
        <f>(SUMIFS('Safeguard facility data'!BB$4:BB$312,'Safeguard facility data'!$A$4:$A$312,$A87,'Safeguard facility data'!BB$4:BB$312,"&gt;0"))-(SUMIFS('Safeguard facility data'!BI$4:BI$312,'Safeguard facility data'!$A$4:$A$312,$A87,'Safeguard facility data'!BI$4:BI$312,"&gt;0"))</f>
        <v>-3782</v>
      </c>
      <c r="C87" s="67">
        <f>(SUMIFS('Safeguard facility data'!BC$4:BC$312,'Safeguard facility data'!$A$4:$A$312,$A87,'Safeguard facility data'!BC$4:BC$312,"&gt;0"))-(SUMIFS('Safeguard facility data'!BJ$4:BJ$312,'Safeguard facility data'!$A$4:$A$312,$A87,'Safeguard facility data'!BJ$4:BJ$312,"&gt;0"))</f>
        <v>109292</v>
      </c>
      <c r="D87" s="67">
        <f>(SUMIFS('Safeguard facility data'!BD$4:BD$312,'Safeguard facility data'!$A$4:$A$312,$A87,'Safeguard facility data'!BD$4:BD$312,"&gt;0"))-(SUMIFS('Safeguard facility data'!BK$4:BK$312,'Safeguard facility data'!$A$4:$A$312,$A87,'Safeguard facility data'!BK$4:BK$312,"&gt;0"))</f>
        <v>309673</v>
      </c>
      <c r="E87" s="67">
        <f>(SUMIFS('Safeguard facility data'!BE$4:BE$312,'Safeguard facility data'!$A$4:$A$312,$A87,'Safeguard facility data'!BE$4:BE$312,"&gt;0"))-(SUMIFS('Safeguard facility data'!BL$4:BL$312,'Safeguard facility data'!$A$4:$A$312,$A87,'Safeguard facility data'!BL$4:BL$312,"&gt;0"))</f>
        <v>309673</v>
      </c>
      <c r="F87" s="67">
        <f>(SUMIFS('Safeguard facility data'!BF$4:BF$312,'Safeguard facility data'!$A$4:$A$312,$A87,'Safeguard facility data'!BF$4:BF$312,"&gt;0"))-(SUMIFS('Safeguard facility data'!BM$4:BM$312,'Safeguard facility data'!$A$4:$A$312,$A87,'Safeguard facility data'!BM$4:BM$312,"&gt;0"))</f>
        <v>309673</v>
      </c>
      <c r="G87" s="67"/>
      <c r="H87" s="67"/>
      <c r="I87" s="67"/>
      <c r="J87" s="67"/>
      <c r="K87" s="67"/>
      <c r="L87" s="67"/>
      <c r="M87" s="67"/>
      <c r="N87" s="67"/>
      <c r="O87" s="67"/>
      <c r="P87" s="67"/>
      <c r="Q87" s="67"/>
    </row>
    <row r="88" spans="1:17">
      <c r="A88" s="87" t="s">
        <v>378</v>
      </c>
      <c r="B88" s="67">
        <f>(SUMIFS('Safeguard facility data'!BB$4:BB$312,'Safeguard facility data'!$A$4:$A$312,$A88,'Safeguard facility data'!BB$4:BB$312,"&gt;0"))-(SUMIFS('Safeguard facility data'!BI$4:BI$312,'Safeguard facility data'!$A$4:$A$312,$A88,'Safeguard facility data'!BI$4:BI$312,"&gt;0"))</f>
        <v>148286</v>
      </c>
      <c r="C88" s="67">
        <f>(SUMIFS('Safeguard facility data'!BC$4:BC$312,'Safeguard facility data'!$A$4:$A$312,$A88,'Safeguard facility data'!BC$4:BC$312,"&gt;0"))-(SUMIFS('Safeguard facility data'!BJ$4:BJ$312,'Safeguard facility data'!$A$4:$A$312,$A88,'Safeguard facility data'!BJ$4:BJ$312,"&gt;0"))</f>
        <v>148286</v>
      </c>
      <c r="D88" s="67">
        <f>(SUMIFS('Safeguard facility data'!BD$4:BD$312,'Safeguard facility data'!$A$4:$A$312,$A88,'Safeguard facility data'!BD$4:BD$312,"&gt;0"))-(SUMIFS('Safeguard facility data'!BK$4:BK$312,'Safeguard facility data'!$A$4:$A$312,$A88,'Safeguard facility data'!BK$4:BK$312,"&gt;0"))</f>
        <v>148286</v>
      </c>
      <c r="E88" s="67">
        <f>(SUMIFS('Safeguard facility data'!BE$4:BE$312,'Safeguard facility data'!$A$4:$A$312,$A88,'Safeguard facility data'!BE$4:BE$312,"&gt;0"))-(SUMIFS('Safeguard facility data'!BL$4:BL$312,'Safeguard facility data'!$A$4:$A$312,$A88,'Safeguard facility data'!BL$4:BL$312,"&gt;0"))</f>
        <v>80922</v>
      </c>
      <c r="F88" s="67">
        <f>(SUMIFS('Safeguard facility data'!BF$4:BF$312,'Safeguard facility data'!$A$4:$A$312,$A88,'Safeguard facility data'!BF$4:BF$312,"&gt;0"))-(SUMIFS('Safeguard facility data'!BM$4:BM$312,'Safeguard facility data'!$A$4:$A$312,$A88,'Safeguard facility data'!BM$4:BM$312,"&gt;0"))</f>
        <v>-67378</v>
      </c>
      <c r="G88" s="67"/>
      <c r="H88" s="67"/>
      <c r="I88" s="67"/>
      <c r="J88" s="67"/>
      <c r="K88" s="67"/>
      <c r="L88" s="67"/>
      <c r="M88" s="67"/>
      <c r="N88" s="67"/>
      <c r="O88" s="67"/>
      <c r="P88" s="67"/>
      <c r="Q88" s="67"/>
    </row>
    <row r="89" spans="1:17">
      <c r="A89" s="87" t="s">
        <v>379</v>
      </c>
      <c r="B89" s="67">
        <f>(SUMIFS('Safeguard facility data'!BB$4:BB$312,'Safeguard facility data'!$A$4:$A$312,$A89,'Safeguard facility data'!BB$4:BB$312,"&gt;0"))-(SUMIFS('Safeguard facility data'!BI$4:BI$312,'Safeguard facility data'!$A$4:$A$312,$A89,'Safeguard facility data'!BI$4:BI$312,"&gt;0"))</f>
        <v>106831</v>
      </c>
      <c r="C89" s="67">
        <f>(SUMIFS('Safeguard facility data'!BC$4:BC$312,'Safeguard facility data'!$A$4:$A$312,$A89,'Safeguard facility data'!BC$4:BC$312,"&gt;0"))-(SUMIFS('Safeguard facility data'!BJ$4:BJ$312,'Safeguard facility data'!$A$4:$A$312,$A89,'Safeguard facility data'!BJ$4:BJ$312,"&gt;0"))</f>
        <v>106831</v>
      </c>
      <c r="D89" s="67">
        <f>(SUMIFS('Safeguard facility data'!BD$4:BD$312,'Safeguard facility data'!$A$4:$A$312,$A89,'Safeguard facility data'!BD$4:BD$312,"&gt;0"))-(SUMIFS('Safeguard facility data'!BK$4:BK$312,'Safeguard facility data'!$A$4:$A$312,$A89,'Safeguard facility data'!BK$4:BK$312,"&gt;0"))</f>
        <v>106831</v>
      </c>
      <c r="E89" s="67">
        <f>(SUMIFS('Safeguard facility data'!BE$4:BE$312,'Safeguard facility data'!$A$4:$A$312,$A89,'Safeguard facility data'!BE$4:BE$312,"&gt;0"))-(SUMIFS('Safeguard facility data'!BL$4:BL$312,'Safeguard facility data'!$A$4:$A$312,$A89,'Safeguard facility data'!BL$4:BL$312,"&gt;0"))</f>
        <v>106831</v>
      </c>
      <c r="F89" s="67">
        <f>(SUMIFS('Safeguard facility data'!BF$4:BF$312,'Safeguard facility data'!$A$4:$A$312,$A89,'Safeguard facility data'!BF$4:BF$312,"&gt;0"))-(SUMIFS('Safeguard facility data'!BM$4:BM$312,'Safeguard facility data'!$A$4:$A$312,$A89,'Safeguard facility data'!BM$4:BM$312,"&gt;0"))</f>
        <v>106831</v>
      </c>
      <c r="G89" s="67"/>
      <c r="H89" s="67"/>
      <c r="I89" s="67"/>
      <c r="J89" s="67"/>
      <c r="K89" s="67"/>
      <c r="L89" s="67"/>
      <c r="M89" s="67"/>
      <c r="N89" s="67"/>
      <c r="O89" s="67"/>
      <c r="P89" s="67"/>
      <c r="Q89" s="67"/>
    </row>
    <row r="90" spans="1:17">
      <c r="A90" s="87" t="s">
        <v>380</v>
      </c>
      <c r="B90" s="67">
        <f>(SUMIFS('Safeguard facility data'!BB$4:BB$312,'Safeguard facility data'!$A$4:$A$312,$A90,'Safeguard facility data'!BB$4:BB$312,"&gt;0"))-(SUMIFS('Safeguard facility data'!BI$4:BI$312,'Safeguard facility data'!$A$4:$A$312,$A90,'Safeguard facility data'!BI$4:BI$312,"&gt;0"))</f>
        <v>100000</v>
      </c>
      <c r="C90" s="67">
        <f>(SUMIFS('Safeguard facility data'!BC$4:BC$312,'Safeguard facility data'!$A$4:$A$312,$A90,'Safeguard facility data'!BC$4:BC$312,"&gt;0"))-(SUMIFS('Safeguard facility data'!BJ$4:BJ$312,'Safeguard facility data'!$A$4:$A$312,$A90,'Safeguard facility data'!BJ$4:BJ$312,"&gt;0"))</f>
        <v>100000</v>
      </c>
      <c r="D90" s="67">
        <f>(SUMIFS('Safeguard facility data'!BD$4:BD$312,'Safeguard facility data'!$A$4:$A$312,$A90,'Safeguard facility data'!BD$4:BD$312,"&gt;0"))-(SUMIFS('Safeguard facility data'!BK$4:BK$312,'Safeguard facility data'!$A$4:$A$312,$A90,'Safeguard facility data'!BK$4:BK$312,"&gt;0"))</f>
        <v>100000</v>
      </c>
      <c r="E90" s="67">
        <f>(SUMIFS('Safeguard facility data'!BE$4:BE$312,'Safeguard facility data'!$A$4:$A$312,$A90,'Safeguard facility data'!BE$4:BE$312,"&gt;0"))-(SUMIFS('Safeguard facility data'!BL$4:BL$312,'Safeguard facility data'!$A$4:$A$312,$A90,'Safeguard facility data'!BL$4:BL$312,"&gt;0"))</f>
        <v>100000</v>
      </c>
      <c r="F90" s="67">
        <f>(SUMIFS('Safeguard facility data'!BF$4:BF$312,'Safeguard facility data'!$A$4:$A$312,$A90,'Safeguard facility data'!BF$4:BF$312,"&gt;0"))-(SUMIFS('Safeguard facility data'!BM$4:BM$312,'Safeguard facility data'!$A$4:$A$312,$A90,'Safeguard facility data'!BM$4:BM$312,"&gt;0"))</f>
        <v>100000</v>
      </c>
      <c r="G90" s="67"/>
      <c r="H90" s="67"/>
      <c r="I90" s="67"/>
      <c r="J90" s="67"/>
      <c r="K90" s="67"/>
      <c r="L90" s="67"/>
      <c r="M90" s="67"/>
      <c r="N90" s="67"/>
      <c r="O90" s="67"/>
      <c r="P90" s="67"/>
      <c r="Q90" s="67"/>
    </row>
    <row r="91" spans="1:17">
      <c r="A91" s="87" t="s">
        <v>381</v>
      </c>
      <c r="B91" s="67">
        <f>(SUMIFS('Safeguard facility data'!BB$4:BB$312,'Safeguard facility data'!$A$4:$A$312,$A91,'Safeguard facility data'!BB$4:BB$312,"&gt;0"))-(SUMIFS('Safeguard facility data'!BI$4:BI$312,'Safeguard facility data'!$A$4:$A$312,$A91,'Safeguard facility data'!BI$4:BI$312,"&gt;0"))</f>
        <v>328946</v>
      </c>
      <c r="C91" s="67">
        <f>(SUMIFS('Safeguard facility data'!BC$4:BC$312,'Safeguard facility data'!$A$4:$A$312,$A91,'Safeguard facility data'!BC$4:BC$312,"&gt;0"))-(SUMIFS('Safeguard facility data'!BJ$4:BJ$312,'Safeguard facility data'!$A$4:$A$312,$A91,'Safeguard facility data'!BJ$4:BJ$312,"&gt;0"))</f>
        <v>328946</v>
      </c>
      <c r="D91" s="67">
        <f>(SUMIFS('Safeguard facility data'!BD$4:BD$312,'Safeguard facility data'!$A$4:$A$312,$A91,'Safeguard facility data'!BD$4:BD$312,"&gt;0"))-(SUMIFS('Safeguard facility data'!BK$4:BK$312,'Safeguard facility data'!$A$4:$A$312,$A91,'Safeguard facility data'!BK$4:BK$312,"&gt;0"))</f>
        <v>328946</v>
      </c>
      <c r="E91" s="67">
        <f>(SUMIFS('Safeguard facility data'!BE$4:BE$312,'Safeguard facility data'!$A$4:$A$312,$A91,'Safeguard facility data'!BE$4:BE$312,"&gt;0"))-(SUMIFS('Safeguard facility data'!BL$4:BL$312,'Safeguard facility data'!$A$4:$A$312,$A91,'Safeguard facility data'!BL$4:BL$312,"&gt;0"))</f>
        <v>328946</v>
      </c>
      <c r="F91" s="67">
        <f>(SUMIFS('Safeguard facility data'!BF$4:BF$312,'Safeguard facility data'!$A$4:$A$312,$A91,'Safeguard facility data'!BF$4:BF$312,"&gt;0"))-(SUMIFS('Safeguard facility data'!BM$4:BM$312,'Safeguard facility data'!$A$4:$A$312,$A91,'Safeguard facility data'!BM$4:BM$312,"&gt;0"))</f>
        <v>328946</v>
      </c>
      <c r="G91" s="67"/>
      <c r="H91" s="67"/>
      <c r="I91" s="67"/>
      <c r="J91" s="67"/>
      <c r="K91" s="67"/>
      <c r="L91" s="67"/>
      <c r="M91" s="67"/>
      <c r="N91" s="67"/>
      <c r="O91" s="67"/>
      <c r="P91" s="67"/>
      <c r="Q91" s="67"/>
    </row>
    <row r="92" spans="1:17">
      <c r="A92" s="87" t="s">
        <v>382</v>
      </c>
      <c r="B92" s="67">
        <f>(SUMIFS('Safeguard facility data'!BB$4:BB$312,'Safeguard facility data'!$A$4:$A$312,$A92,'Safeguard facility data'!BB$4:BB$312,"&gt;0"))-(SUMIFS('Safeguard facility data'!BI$4:BI$312,'Safeguard facility data'!$A$4:$A$312,$A92,'Safeguard facility data'!BI$4:BI$312,"&gt;0"))</f>
        <v>0</v>
      </c>
      <c r="C92" s="67">
        <f>(SUMIFS('Safeguard facility data'!BC$4:BC$312,'Safeguard facility data'!$A$4:$A$312,$A92,'Safeguard facility data'!BC$4:BC$312,"&gt;0"))-(SUMIFS('Safeguard facility data'!BJ$4:BJ$312,'Safeguard facility data'!$A$4:$A$312,$A92,'Safeguard facility data'!BJ$4:BJ$312,"&gt;0"))</f>
        <v>0</v>
      </c>
      <c r="D92" s="67">
        <f>(SUMIFS('Safeguard facility data'!BD$4:BD$312,'Safeguard facility data'!$A$4:$A$312,$A92,'Safeguard facility data'!BD$4:BD$312,"&gt;0"))-(SUMIFS('Safeguard facility data'!BK$4:BK$312,'Safeguard facility data'!$A$4:$A$312,$A92,'Safeguard facility data'!BK$4:BK$312,"&gt;0"))</f>
        <v>-2688</v>
      </c>
      <c r="E92" s="67">
        <f>(SUMIFS('Safeguard facility data'!BE$4:BE$312,'Safeguard facility data'!$A$4:$A$312,$A92,'Safeguard facility data'!BE$4:BE$312,"&gt;0"))-(SUMIFS('Safeguard facility data'!BL$4:BL$312,'Safeguard facility data'!$A$4:$A$312,$A92,'Safeguard facility data'!BL$4:BL$312,"&gt;0"))</f>
        <v>-3114</v>
      </c>
      <c r="F92" s="67">
        <f>(SUMIFS('Safeguard facility data'!BF$4:BF$312,'Safeguard facility data'!$A$4:$A$312,$A92,'Safeguard facility data'!BF$4:BF$312,"&gt;0"))-(SUMIFS('Safeguard facility data'!BM$4:BM$312,'Safeguard facility data'!$A$4:$A$312,$A92,'Safeguard facility data'!BM$4:BM$312,"&gt;0"))</f>
        <v>2334</v>
      </c>
      <c r="G92" s="67"/>
      <c r="H92" s="67"/>
      <c r="I92" s="67"/>
      <c r="J92" s="67"/>
      <c r="K92" s="67"/>
      <c r="L92" s="67"/>
      <c r="M92" s="67"/>
      <c r="N92" s="67"/>
      <c r="O92" s="67"/>
      <c r="P92" s="67"/>
      <c r="Q92" s="67"/>
    </row>
    <row r="93" spans="1:17">
      <c r="A93" s="87" t="s">
        <v>383</v>
      </c>
      <c r="B93" s="67">
        <f>(SUMIFS('Safeguard facility data'!BB$4:BB$312,'Safeguard facility data'!$A$4:$A$312,$A93,'Safeguard facility data'!BB$4:BB$312,"&gt;0"))-(SUMIFS('Safeguard facility data'!BI$4:BI$312,'Safeguard facility data'!$A$4:$A$312,$A93,'Safeguard facility data'!BI$4:BI$312,"&gt;0"))</f>
        <v>98303</v>
      </c>
      <c r="C93" s="67">
        <f>(SUMIFS('Safeguard facility data'!BC$4:BC$312,'Safeguard facility data'!$A$4:$A$312,$A93,'Safeguard facility data'!BC$4:BC$312,"&gt;0"))-(SUMIFS('Safeguard facility data'!BJ$4:BJ$312,'Safeguard facility data'!$A$4:$A$312,$A93,'Safeguard facility data'!BJ$4:BJ$312,"&gt;0"))</f>
        <v>99558</v>
      </c>
      <c r="D93" s="67">
        <f>(SUMIFS('Safeguard facility data'!BD$4:BD$312,'Safeguard facility data'!$A$4:$A$312,$A93,'Safeguard facility data'!BD$4:BD$312,"&gt;0"))-(SUMIFS('Safeguard facility data'!BK$4:BK$312,'Safeguard facility data'!$A$4:$A$312,$A93,'Safeguard facility data'!BK$4:BK$312,"&gt;0"))</f>
        <v>122511</v>
      </c>
      <c r="E93" s="67">
        <f>(SUMIFS('Safeguard facility data'!BE$4:BE$312,'Safeguard facility data'!$A$4:$A$312,$A93,'Safeguard facility data'!BE$4:BE$312,"&gt;0"))-(SUMIFS('Safeguard facility data'!BL$4:BL$312,'Safeguard facility data'!$A$4:$A$312,$A93,'Safeguard facility data'!BL$4:BL$312,"&gt;0"))</f>
        <v>129292</v>
      </c>
      <c r="F93" s="67">
        <f>(SUMIFS('Safeguard facility data'!BF$4:BF$312,'Safeguard facility data'!$A$4:$A$312,$A93,'Safeguard facility data'!BF$4:BF$312,"&gt;0"))-(SUMIFS('Safeguard facility data'!BM$4:BM$312,'Safeguard facility data'!$A$4:$A$312,$A93,'Safeguard facility data'!BM$4:BM$312,"&gt;0"))</f>
        <v>199000</v>
      </c>
      <c r="G93" s="67"/>
      <c r="H93" s="67"/>
      <c r="I93" s="67"/>
      <c r="J93" s="67"/>
      <c r="K93" s="67"/>
      <c r="L93" s="67"/>
      <c r="M93" s="67"/>
      <c r="N93" s="67"/>
      <c r="O93" s="67"/>
      <c r="P93" s="67"/>
      <c r="Q93" s="67"/>
    </row>
    <row r="94" spans="1:17">
      <c r="A94" s="87" t="s">
        <v>384</v>
      </c>
      <c r="B94" s="67">
        <f>(SUMIFS('Safeguard facility data'!BB$4:BB$312,'Safeguard facility data'!$A$4:$A$312,$A94,'Safeguard facility data'!BB$4:BB$312,"&gt;0"))-(SUMIFS('Safeguard facility data'!BI$4:BI$312,'Safeguard facility data'!$A$4:$A$312,$A94,'Safeguard facility data'!BI$4:BI$312,"&gt;0"))</f>
        <v>166612</v>
      </c>
      <c r="C94" s="67">
        <f>(SUMIFS('Safeguard facility data'!BC$4:BC$312,'Safeguard facility data'!$A$4:$A$312,$A94,'Safeguard facility data'!BC$4:BC$312,"&gt;0"))-(SUMIFS('Safeguard facility data'!BJ$4:BJ$312,'Safeguard facility data'!$A$4:$A$312,$A94,'Safeguard facility data'!BJ$4:BJ$312,"&gt;0"))</f>
        <v>166612</v>
      </c>
      <c r="D94" s="67">
        <f>(SUMIFS('Safeguard facility data'!BD$4:BD$312,'Safeguard facility data'!$A$4:$A$312,$A94,'Safeguard facility data'!BD$4:BD$312,"&gt;0"))-(SUMIFS('Safeguard facility data'!BK$4:BK$312,'Safeguard facility data'!$A$4:$A$312,$A94,'Safeguard facility data'!BK$4:BK$312,"&gt;0"))</f>
        <v>166612</v>
      </c>
      <c r="E94" s="67">
        <f>(SUMIFS('Safeguard facility data'!BE$4:BE$312,'Safeguard facility data'!$A$4:$A$312,$A94,'Safeguard facility data'!BE$4:BE$312,"&gt;0"))-(SUMIFS('Safeguard facility data'!BL$4:BL$312,'Safeguard facility data'!$A$4:$A$312,$A94,'Safeguard facility data'!BL$4:BL$312,"&gt;0"))</f>
        <v>166612</v>
      </c>
      <c r="F94" s="67">
        <f>(SUMIFS('Safeguard facility data'!BF$4:BF$312,'Safeguard facility data'!$A$4:$A$312,$A94,'Safeguard facility data'!BF$4:BF$312,"&gt;0"))-(SUMIFS('Safeguard facility data'!BM$4:BM$312,'Safeguard facility data'!$A$4:$A$312,$A94,'Safeguard facility data'!BM$4:BM$312,"&gt;0"))</f>
        <v>166612</v>
      </c>
      <c r="G94" s="67"/>
      <c r="H94" s="67"/>
      <c r="I94" s="67"/>
      <c r="J94" s="67"/>
      <c r="K94" s="67"/>
      <c r="L94" s="67"/>
      <c r="M94" s="67"/>
      <c r="N94" s="67"/>
      <c r="O94" s="67"/>
      <c r="P94" s="67"/>
      <c r="Q94" s="67"/>
    </row>
    <row r="95" spans="1:17">
      <c r="A95" s="87" t="s">
        <v>385</v>
      </c>
      <c r="B95" s="67">
        <f>(SUMIFS('Safeguard facility data'!BB$4:BB$312,'Safeguard facility data'!$A$4:$A$312,$A95,'Safeguard facility data'!BB$4:BB$312,"&gt;0"))-(SUMIFS('Safeguard facility data'!BI$4:BI$312,'Safeguard facility data'!$A$4:$A$312,$A95,'Safeguard facility data'!BI$4:BI$312,"&gt;0"))</f>
        <v>11518</v>
      </c>
      <c r="C95" s="67">
        <f>(SUMIFS('Safeguard facility data'!BC$4:BC$312,'Safeguard facility data'!$A$4:$A$312,$A95,'Safeguard facility data'!BC$4:BC$312,"&gt;0"))-(SUMIFS('Safeguard facility data'!BJ$4:BJ$312,'Safeguard facility data'!$A$4:$A$312,$A95,'Safeguard facility data'!BJ$4:BJ$312,"&gt;0"))</f>
        <v>45028</v>
      </c>
      <c r="D95" s="67">
        <f>(SUMIFS('Safeguard facility data'!BD$4:BD$312,'Safeguard facility data'!$A$4:$A$312,$A95,'Safeguard facility data'!BD$4:BD$312,"&gt;0"))-(SUMIFS('Safeguard facility data'!BK$4:BK$312,'Safeguard facility data'!$A$4:$A$312,$A95,'Safeguard facility data'!BK$4:BK$312,"&gt;0"))</f>
        <v>238394</v>
      </c>
      <c r="E95" s="67">
        <f>(SUMIFS('Safeguard facility data'!BE$4:BE$312,'Safeguard facility data'!$A$4:$A$312,$A95,'Safeguard facility data'!BE$4:BE$312,"&gt;0"))-(SUMIFS('Safeguard facility data'!BL$4:BL$312,'Safeguard facility data'!$A$4:$A$312,$A95,'Safeguard facility data'!BL$4:BL$312,"&gt;0"))</f>
        <v>100438</v>
      </c>
      <c r="F95" s="67">
        <f>(SUMIFS('Safeguard facility data'!BF$4:BF$312,'Safeguard facility data'!$A$4:$A$312,$A95,'Safeguard facility data'!BF$4:BF$312,"&gt;0"))-(SUMIFS('Safeguard facility data'!BM$4:BM$312,'Safeguard facility data'!$A$4:$A$312,$A95,'Safeguard facility data'!BM$4:BM$312,"&gt;0"))</f>
        <v>87111</v>
      </c>
      <c r="G95" s="67"/>
      <c r="H95" s="67"/>
      <c r="I95" s="67"/>
      <c r="J95" s="67"/>
      <c r="K95" s="67"/>
      <c r="L95" s="67"/>
      <c r="M95" s="67"/>
      <c r="N95" s="67"/>
      <c r="O95" s="67"/>
      <c r="P95" s="67"/>
      <c r="Q95" s="67"/>
    </row>
    <row r="96" spans="1:17">
      <c r="A96" s="87" t="s">
        <v>386</v>
      </c>
      <c r="B96" s="67">
        <f>(SUMIFS('Safeguard facility data'!BB$4:BB$312,'Safeguard facility data'!$A$4:$A$312,$A96,'Safeguard facility data'!BB$4:BB$312,"&gt;0"))-(SUMIFS('Safeguard facility data'!BI$4:BI$312,'Safeguard facility data'!$A$4:$A$312,$A96,'Safeguard facility data'!BI$4:BI$312,"&gt;0"))</f>
        <v>312013</v>
      </c>
      <c r="C96" s="67">
        <f>(SUMIFS('Safeguard facility data'!BC$4:BC$312,'Safeguard facility data'!$A$4:$A$312,$A96,'Safeguard facility data'!BC$4:BC$312,"&gt;0"))-(SUMIFS('Safeguard facility data'!BJ$4:BJ$312,'Safeguard facility data'!$A$4:$A$312,$A96,'Safeguard facility data'!BJ$4:BJ$312,"&gt;0"))</f>
        <v>252948</v>
      </c>
      <c r="D96" s="67">
        <f>(SUMIFS('Safeguard facility data'!BD$4:BD$312,'Safeguard facility data'!$A$4:$A$312,$A96,'Safeguard facility data'!BD$4:BD$312,"&gt;0"))-(SUMIFS('Safeguard facility data'!BK$4:BK$312,'Safeguard facility data'!$A$4:$A$312,$A96,'Safeguard facility data'!BK$4:BK$312,"&gt;0"))</f>
        <v>180659</v>
      </c>
      <c r="E96" s="67">
        <f>(SUMIFS('Safeguard facility data'!BE$4:BE$312,'Safeguard facility data'!$A$4:$A$312,$A96,'Safeguard facility data'!BE$4:BE$312,"&gt;0"))-(SUMIFS('Safeguard facility data'!BL$4:BL$312,'Safeguard facility data'!$A$4:$A$312,$A96,'Safeguard facility data'!BL$4:BL$312,"&gt;0"))</f>
        <v>178343</v>
      </c>
      <c r="F96" s="67">
        <f>(SUMIFS('Safeguard facility data'!BF$4:BF$312,'Safeguard facility data'!$A$4:$A$312,$A96,'Safeguard facility data'!BF$4:BF$312,"&gt;0"))-(SUMIFS('Safeguard facility data'!BM$4:BM$312,'Safeguard facility data'!$A$4:$A$312,$A96,'Safeguard facility data'!BM$4:BM$312,"&gt;0"))</f>
        <v>176690</v>
      </c>
      <c r="G96" s="67"/>
      <c r="H96" s="67"/>
      <c r="I96" s="67"/>
      <c r="J96" s="67"/>
      <c r="K96" s="67"/>
      <c r="L96" s="67"/>
      <c r="M96" s="67"/>
      <c r="N96" s="67"/>
      <c r="O96" s="67"/>
      <c r="P96" s="67"/>
      <c r="Q96" s="67"/>
    </row>
    <row r="97" spans="1:17">
      <c r="A97" s="87" t="s">
        <v>387</v>
      </c>
      <c r="B97" s="67">
        <f>(SUMIFS('Safeguard facility data'!BB$4:BB$312,'Safeguard facility data'!$A$4:$A$312,$A97,'Safeguard facility data'!BB$4:BB$312,"&gt;0"))-(SUMIFS('Safeguard facility data'!BI$4:BI$312,'Safeguard facility data'!$A$4:$A$312,$A97,'Safeguard facility data'!BI$4:BI$312,"&gt;0"))</f>
        <v>0</v>
      </c>
      <c r="C97" s="67">
        <f>(SUMIFS('Safeguard facility data'!BC$4:BC$312,'Safeguard facility data'!$A$4:$A$312,$A97,'Safeguard facility data'!BC$4:BC$312,"&gt;0"))-(SUMIFS('Safeguard facility data'!BJ$4:BJ$312,'Safeguard facility data'!$A$4:$A$312,$A97,'Safeguard facility data'!BJ$4:BJ$312,"&gt;0"))</f>
        <v>2725687</v>
      </c>
      <c r="D97" s="67">
        <f>(SUMIFS('Safeguard facility data'!BD$4:BD$312,'Safeguard facility data'!$A$4:$A$312,$A97,'Safeguard facility data'!BD$4:BD$312,"&gt;0"))-(SUMIFS('Safeguard facility data'!BK$4:BK$312,'Safeguard facility data'!$A$4:$A$312,$A97,'Safeguard facility data'!BK$4:BK$312,"&gt;0"))</f>
        <v>408414</v>
      </c>
      <c r="E97" s="67">
        <f>(SUMIFS('Safeguard facility data'!BE$4:BE$312,'Safeguard facility data'!$A$4:$A$312,$A97,'Safeguard facility data'!BE$4:BE$312,"&gt;0"))-(SUMIFS('Safeguard facility data'!BL$4:BL$312,'Safeguard facility data'!$A$4:$A$312,$A97,'Safeguard facility data'!BL$4:BL$312,"&gt;0"))</f>
        <v>1012704</v>
      </c>
      <c r="F97" s="67">
        <f>(SUMIFS('Safeguard facility data'!BF$4:BF$312,'Safeguard facility data'!$A$4:$A$312,$A97,'Safeguard facility data'!BF$4:BF$312,"&gt;0"))-(SUMIFS('Safeguard facility data'!BM$4:BM$312,'Safeguard facility data'!$A$4:$A$312,$A97,'Safeguard facility data'!BM$4:BM$312,"&gt;0"))</f>
        <v>757362</v>
      </c>
      <c r="G97" s="67"/>
      <c r="H97" s="67"/>
      <c r="I97" s="67"/>
      <c r="J97" s="67"/>
      <c r="K97" s="67"/>
      <c r="L97" s="67"/>
      <c r="M97" s="67"/>
      <c r="N97" s="67"/>
      <c r="O97" s="67"/>
      <c r="P97" s="67"/>
      <c r="Q97" s="67"/>
    </row>
    <row r="98" spans="1:17">
      <c r="A98" s="87" t="s">
        <v>388</v>
      </c>
      <c r="B98" s="67">
        <f>(SUMIFS('Safeguard facility data'!BB$4:BB$312,'Safeguard facility data'!$A$4:$A$312,$A98,'Safeguard facility data'!BB$4:BB$312,"&gt;0"))-(SUMIFS('Safeguard facility data'!BI$4:BI$312,'Safeguard facility data'!$A$4:$A$312,$A98,'Safeguard facility data'!BI$4:BI$312,"&gt;0"))</f>
        <v>-1529</v>
      </c>
      <c r="C98" s="67">
        <f>(SUMIFS('Safeguard facility data'!BC$4:BC$312,'Safeguard facility data'!$A$4:$A$312,$A98,'Safeguard facility data'!BC$4:BC$312,"&gt;0"))-(SUMIFS('Safeguard facility data'!BJ$4:BJ$312,'Safeguard facility data'!$A$4:$A$312,$A98,'Safeguard facility data'!BJ$4:BJ$312,"&gt;0"))</f>
        <v>105</v>
      </c>
      <c r="D98" s="67">
        <f>(SUMIFS('Safeguard facility data'!BD$4:BD$312,'Safeguard facility data'!$A$4:$A$312,$A98,'Safeguard facility data'!BD$4:BD$312,"&gt;0"))-(SUMIFS('Safeguard facility data'!BK$4:BK$312,'Safeguard facility data'!$A$4:$A$312,$A98,'Safeguard facility data'!BK$4:BK$312,"&gt;0"))</f>
        <v>-46</v>
      </c>
      <c r="E98" s="67">
        <f>(SUMIFS('Safeguard facility data'!BE$4:BE$312,'Safeguard facility data'!$A$4:$A$312,$A98,'Safeguard facility data'!BE$4:BE$312,"&gt;0"))-(SUMIFS('Safeguard facility data'!BL$4:BL$312,'Safeguard facility data'!$A$4:$A$312,$A98,'Safeguard facility data'!BL$4:BL$312,"&gt;0"))</f>
        <v>34327</v>
      </c>
      <c r="F98" s="67">
        <f>(SUMIFS('Safeguard facility data'!BF$4:BF$312,'Safeguard facility data'!$A$4:$A$312,$A98,'Safeguard facility data'!BF$4:BF$312,"&gt;0"))-(SUMIFS('Safeguard facility data'!BM$4:BM$312,'Safeguard facility data'!$A$4:$A$312,$A98,'Safeguard facility data'!BM$4:BM$312,"&gt;0"))</f>
        <v>-5413</v>
      </c>
      <c r="G98" s="67"/>
      <c r="H98" s="67"/>
      <c r="I98" s="67"/>
      <c r="J98" s="67"/>
      <c r="K98" s="67"/>
      <c r="L98" s="67"/>
      <c r="M98" s="67"/>
      <c r="N98" s="67"/>
      <c r="O98" s="67"/>
      <c r="P98" s="67"/>
      <c r="Q98" s="67"/>
    </row>
    <row r="99" spans="1:17">
      <c r="A99" s="87" t="s">
        <v>390</v>
      </c>
      <c r="B99" s="67">
        <f>(SUMIFS('Safeguard facility data'!BB$4:BB$312,'Safeguard facility data'!$A$4:$A$312,$A99,'Safeguard facility data'!BB$4:BB$312,"&gt;0"))-(SUMIFS('Safeguard facility data'!BI$4:BI$312,'Safeguard facility data'!$A$4:$A$312,$A99,'Safeguard facility data'!BI$4:BI$312,"&gt;0"))</f>
        <v>180629</v>
      </c>
      <c r="C99" s="67">
        <f>(SUMIFS('Safeguard facility data'!BC$4:BC$312,'Safeguard facility data'!$A$4:$A$312,$A99,'Safeguard facility data'!BC$4:BC$312,"&gt;0"))-(SUMIFS('Safeguard facility data'!BJ$4:BJ$312,'Safeguard facility data'!$A$4:$A$312,$A99,'Safeguard facility data'!BJ$4:BJ$312,"&gt;0"))</f>
        <v>-1221</v>
      </c>
      <c r="D99" s="67">
        <f>(SUMIFS('Safeguard facility data'!BD$4:BD$312,'Safeguard facility data'!$A$4:$A$312,$A99,'Safeguard facility data'!BD$4:BD$312,"&gt;0"))-(SUMIFS('Safeguard facility data'!BK$4:BK$312,'Safeguard facility data'!$A$4:$A$312,$A99,'Safeguard facility data'!BK$4:BK$312,"&gt;0"))</f>
        <v>30357</v>
      </c>
      <c r="E99" s="67">
        <f>(SUMIFS('Safeguard facility data'!BE$4:BE$312,'Safeguard facility data'!$A$4:$A$312,$A99,'Safeguard facility data'!BE$4:BE$312,"&gt;0"))-(SUMIFS('Safeguard facility data'!BL$4:BL$312,'Safeguard facility data'!$A$4:$A$312,$A99,'Safeguard facility data'!BL$4:BL$312,"&gt;0"))</f>
        <v>55347</v>
      </c>
      <c r="F99" s="67">
        <f>(SUMIFS('Safeguard facility data'!BF$4:BF$312,'Safeguard facility data'!$A$4:$A$312,$A99,'Safeguard facility data'!BF$4:BF$312,"&gt;0"))-(SUMIFS('Safeguard facility data'!BM$4:BM$312,'Safeguard facility data'!$A$4:$A$312,$A99,'Safeguard facility data'!BM$4:BM$312,"&gt;0"))</f>
        <v>99375</v>
      </c>
      <c r="G99" s="67"/>
      <c r="H99" s="67"/>
      <c r="I99" s="67"/>
      <c r="J99" s="67"/>
      <c r="K99" s="67"/>
      <c r="L99" s="67"/>
      <c r="M99" s="67"/>
      <c r="N99" s="67"/>
      <c r="O99" s="67"/>
      <c r="P99" s="67"/>
      <c r="Q99" s="67"/>
    </row>
    <row r="100" spans="1:17">
      <c r="A100" s="87" t="s">
        <v>391</v>
      </c>
      <c r="B100" s="67">
        <f>(SUMIFS('Safeguard facility data'!BB$4:BB$312,'Safeguard facility data'!$A$4:$A$312,$A100,'Safeguard facility data'!BB$4:BB$312,"&gt;0"))-(SUMIFS('Safeguard facility data'!BI$4:BI$312,'Safeguard facility data'!$A$4:$A$312,$A100,'Safeguard facility data'!BI$4:BI$312,"&gt;0"))</f>
        <v>140033</v>
      </c>
      <c r="C100" s="67">
        <f>(SUMIFS('Safeguard facility data'!BC$4:BC$312,'Safeguard facility data'!$A$4:$A$312,$A100,'Safeguard facility data'!BC$4:BC$312,"&gt;0"))-(SUMIFS('Safeguard facility data'!BJ$4:BJ$312,'Safeguard facility data'!$A$4:$A$312,$A100,'Safeguard facility data'!BJ$4:BJ$312,"&gt;0"))</f>
        <v>110092</v>
      </c>
      <c r="D100" s="67">
        <f>(SUMIFS('Safeguard facility data'!BD$4:BD$312,'Safeguard facility data'!$A$4:$A$312,$A100,'Safeguard facility data'!BD$4:BD$312,"&gt;0"))-(SUMIFS('Safeguard facility data'!BK$4:BK$312,'Safeguard facility data'!$A$4:$A$312,$A100,'Safeguard facility data'!BK$4:BK$312,"&gt;0"))</f>
        <v>59018</v>
      </c>
      <c r="E100" s="67">
        <f>(SUMIFS('Safeguard facility data'!BE$4:BE$312,'Safeguard facility data'!$A$4:$A$312,$A100,'Safeguard facility data'!BE$4:BE$312,"&gt;0"))-(SUMIFS('Safeguard facility data'!BL$4:BL$312,'Safeguard facility data'!$A$4:$A$312,$A100,'Safeguard facility data'!BL$4:BL$312,"&gt;0"))</f>
        <v>175913</v>
      </c>
      <c r="F100" s="67">
        <f>(SUMIFS('Safeguard facility data'!BF$4:BF$312,'Safeguard facility data'!$A$4:$A$312,$A100,'Safeguard facility data'!BF$4:BF$312,"&gt;0"))-(SUMIFS('Safeguard facility data'!BM$4:BM$312,'Safeguard facility data'!$A$4:$A$312,$A100,'Safeguard facility data'!BM$4:BM$312,"&gt;0"))</f>
        <v>193989</v>
      </c>
      <c r="G100" s="67"/>
      <c r="H100" s="67"/>
      <c r="I100" s="67"/>
      <c r="J100" s="67"/>
      <c r="K100" s="67"/>
      <c r="L100" s="67"/>
      <c r="M100" s="67"/>
      <c r="N100" s="67"/>
      <c r="O100" s="67"/>
      <c r="P100" s="67"/>
      <c r="Q100" s="67"/>
    </row>
    <row r="101" spans="1:17">
      <c r="A101" s="87" t="s">
        <v>392</v>
      </c>
      <c r="B101" s="67">
        <f>(SUMIFS('Safeguard facility data'!BB$4:BB$312,'Safeguard facility data'!$A$4:$A$312,$A101,'Safeguard facility data'!BB$4:BB$312,"&gt;0"))-(SUMIFS('Safeguard facility data'!BI$4:BI$312,'Safeguard facility data'!$A$4:$A$312,$A101,'Safeguard facility data'!BI$4:BI$312,"&gt;0"))</f>
        <v>16589</v>
      </c>
      <c r="C101" s="67">
        <f>(SUMIFS('Safeguard facility data'!BC$4:BC$312,'Safeguard facility data'!$A$4:$A$312,$A101,'Safeguard facility data'!BC$4:BC$312,"&gt;0"))-(SUMIFS('Safeguard facility data'!BJ$4:BJ$312,'Safeguard facility data'!$A$4:$A$312,$A101,'Safeguard facility data'!BJ$4:BJ$312,"&gt;0"))</f>
        <v>4538</v>
      </c>
      <c r="D101" s="67">
        <f>(SUMIFS('Safeguard facility data'!BD$4:BD$312,'Safeguard facility data'!$A$4:$A$312,$A101,'Safeguard facility data'!BD$4:BD$312,"&gt;0"))-(SUMIFS('Safeguard facility data'!BK$4:BK$312,'Safeguard facility data'!$A$4:$A$312,$A101,'Safeguard facility data'!BK$4:BK$312,"&gt;0"))</f>
        <v>-4264</v>
      </c>
      <c r="E101" s="67">
        <f>(SUMIFS('Safeguard facility data'!BE$4:BE$312,'Safeguard facility data'!$A$4:$A$312,$A101,'Safeguard facility data'!BE$4:BE$312,"&gt;0"))-(SUMIFS('Safeguard facility data'!BL$4:BL$312,'Safeguard facility data'!$A$4:$A$312,$A101,'Safeguard facility data'!BL$4:BL$312,"&gt;0"))</f>
        <v>5543</v>
      </c>
      <c r="F101" s="67">
        <f>(SUMIFS('Safeguard facility data'!BF$4:BF$312,'Safeguard facility data'!$A$4:$A$312,$A101,'Safeguard facility data'!BF$4:BF$312,"&gt;0"))-(SUMIFS('Safeguard facility data'!BM$4:BM$312,'Safeguard facility data'!$A$4:$A$312,$A101,'Safeguard facility data'!BM$4:BM$312,"&gt;0"))</f>
        <v>-2238</v>
      </c>
      <c r="G101" s="67"/>
      <c r="H101" s="67"/>
      <c r="I101" s="67"/>
      <c r="J101" s="67"/>
      <c r="K101" s="67"/>
      <c r="L101" s="67"/>
      <c r="M101" s="67"/>
      <c r="N101" s="67"/>
      <c r="O101" s="67"/>
      <c r="P101" s="67"/>
      <c r="Q101" s="67"/>
    </row>
    <row r="102" spans="1:17">
      <c r="A102" s="87" t="s">
        <v>393</v>
      </c>
      <c r="B102" s="67">
        <f>(SUMIFS('Safeguard facility data'!BB$4:BB$312,'Safeguard facility data'!$A$4:$A$312,$A102,'Safeguard facility data'!BB$4:BB$312,"&gt;0"))-(SUMIFS('Safeguard facility data'!BI$4:BI$312,'Safeguard facility data'!$A$4:$A$312,$A102,'Safeguard facility data'!BI$4:BI$312,"&gt;0"))</f>
        <v>72175</v>
      </c>
      <c r="C102" s="67">
        <f>(SUMIFS('Safeguard facility data'!BC$4:BC$312,'Safeguard facility data'!$A$4:$A$312,$A102,'Safeguard facility data'!BC$4:BC$312,"&gt;0"))-(SUMIFS('Safeguard facility data'!BJ$4:BJ$312,'Safeguard facility data'!$A$4:$A$312,$A102,'Safeguard facility data'!BJ$4:BJ$312,"&gt;0"))</f>
        <v>56258</v>
      </c>
      <c r="D102" s="67">
        <f>(SUMIFS('Safeguard facility data'!BD$4:BD$312,'Safeguard facility data'!$A$4:$A$312,$A102,'Safeguard facility data'!BD$4:BD$312,"&gt;0"))-(SUMIFS('Safeguard facility data'!BK$4:BK$312,'Safeguard facility data'!$A$4:$A$312,$A102,'Safeguard facility data'!BK$4:BK$312,"&gt;0"))</f>
        <v>153819</v>
      </c>
      <c r="E102" s="67">
        <f>(SUMIFS('Safeguard facility data'!BE$4:BE$312,'Safeguard facility data'!$A$4:$A$312,$A102,'Safeguard facility data'!BE$4:BE$312,"&gt;0"))-(SUMIFS('Safeguard facility data'!BL$4:BL$312,'Safeguard facility data'!$A$4:$A$312,$A102,'Safeguard facility data'!BL$4:BL$312,"&gt;0"))</f>
        <v>129309</v>
      </c>
      <c r="F102" s="67">
        <f>(SUMIFS('Safeguard facility data'!BF$4:BF$312,'Safeguard facility data'!$A$4:$A$312,$A102,'Safeguard facility data'!BF$4:BF$312,"&gt;0"))-(SUMIFS('Safeguard facility data'!BM$4:BM$312,'Safeguard facility data'!$A$4:$A$312,$A102,'Safeguard facility data'!BM$4:BM$312,"&gt;0"))</f>
        <v>58454</v>
      </c>
      <c r="G102" s="67"/>
      <c r="H102" s="67"/>
      <c r="I102" s="67"/>
      <c r="J102" s="67"/>
      <c r="K102" s="67"/>
      <c r="L102" s="67"/>
      <c r="M102" s="67"/>
      <c r="N102" s="67"/>
      <c r="O102" s="67"/>
      <c r="P102" s="67"/>
      <c r="Q102" s="67"/>
    </row>
    <row r="103" spans="1:17">
      <c r="A103" s="54" t="s">
        <v>394</v>
      </c>
      <c r="B103" s="67">
        <f>(SUMIFS('Safeguard facility data'!BB$4:BB$312,'Safeguard facility data'!$A$4:$A$312,$A103,'Safeguard facility data'!BB$4:BB$312,"&gt;0"))-(SUMIFS('Safeguard facility data'!BI$4:BI$312,'Safeguard facility data'!$A$4:$A$312,$A103,'Safeguard facility data'!BI$4:BI$312,"&gt;0"))</f>
        <v>128998</v>
      </c>
      <c r="C103" s="67">
        <f>(SUMIFS('Safeguard facility data'!BC$4:BC$312,'Safeguard facility data'!$A$4:$A$312,$A103,'Safeguard facility data'!BC$4:BC$312,"&gt;0"))-(SUMIFS('Safeguard facility data'!BJ$4:BJ$312,'Safeguard facility data'!$A$4:$A$312,$A103,'Safeguard facility data'!BJ$4:BJ$312,"&gt;0"))</f>
        <v>128998</v>
      </c>
      <c r="D103" s="67">
        <f>(SUMIFS('Safeguard facility data'!BD$4:BD$312,'Safeguard facility data'!$A$4:$A$312,$A103,'Safeguard facility data'!BD$4:BD$312,"&gt;0"))-(SUMIFS('Safeguard facility data'!BK$4:BK$312,'Safeguard facility data'!$A$4:$A$312,$A103,'Safeguard facility data'!BK$4:BK$312,"&gt;0"))</f>
        <v>128998</v>
      </c>
      <c r="E103" s="67">
        <f>(SUMIFS('Safeguard facility data'!BE$4:BE$312,'Safeguard facility data'!$A$4:$A$312,$A103,'Safeguard facility data'!BE$4:BE$312,"&gt;0"))-(SUMIFS('Safeguard facility data'!BL$4:BL$312,'Safeguard facility data'!$A$4:$A$312,$A103,'Safeguard facility data'!BL$4:BL$312,"&gt;0"))</f>
        <v>128998</v>
      </c>
      <c r="F103" s="67">
        <f>(SUMIFS('Safeguard facility data'!BF$4:BF$312,'Safeguard facility data'!$A$4:$A$312,$A103,'Safeguard facility data'!BF$4:BF$312,"&gt;0"))-(SUMIFS('Safeguard facility data'!BM$4:BM$312,'Safeguard facility data'!$A$4:$A$312,$A103,'Safeguard facility data'!BM$4:BM$312,"&gt;0"))</f>
        <v>128998</v>
      </c>
      <c r="G103" s="67"/>
      <c r="H103" s="67"/>
      <c r="I103" s="67"/>
      <c r="J103" s="67"/>
      <c r="K103" s="67"/>
      <c r="L103" s="67"/>
      <c r="M103" s="67"/>
      <c r="N103" s="67"/>
      <c r="O103" s="67"/>
      <c r="P103" s="67"/>
      <c r="Q103" s="67"/>
    </row>
    <row r="104" spans="1:17">
      <c r="A104" s="87" t="s">
        <v>395</v>
      </c>
      <c r="B104" s="67">
        <f>(SUMIFS('Safeguard facility data'!BB$4:BB$312,'Safeguard facility data'!$A$4:$A$312,$A104,'Safeguard facility data'!BB$4:BB$312,"&gt;0"))-(SUMIFS('Safeguard facility data'!BI$4:BI$312,'Safeguard facility data'!$A$4:$A$312,$A104,'Safeguard facility data'!BI$4:BI$312,"&gt;0"))</f>
        <v>505031</v>
      </c>
      <c r="C104" s="67">
        <f>(SUMIFS('Safeguard facility data'!BC$4:BC$312,'Safeguard facility data'!$A$4:$A$312,$A104,'Safeguard facility data'!BC$4:BC$312,"&gt;0"))-(SUMIFS('Safeguard facility data'!BJ$4:BJ$312,'Safeguard facility data'!$A$4:$A$312,$A104,'Safeguard facility data'!BJ$4:BJ$312,"&gt;0"))</f>
        <v>95770</v>
      </c>
      <c r="D104" s="67">
        <f>(SUMIFS('Safeguard facility data'!BD$4:BD$312,'Safeguard facility data'!$A$4:$A$312,$A104,'Safeguard facility data'!BD$4:BD$312,"&gt;0"))-(SUMIFS('Safeguard facility data'!BK$4:BK$312,'Safeguard facility data'!$A$4:$A$312,$A104,'Safeguard facility data'!BK$4:BK$312,"&gt;0"))</f>
        <v>228146</v>
      </c>
      <c r="E104" s="67">
        <f>(SUMIFS('Safeguard facility data'!BE$4:BE$312,'Safeguard facility data'!$A$4:$A$312,$A104,'Safeguard facility data'!BE$4:BE$312,"&gt;0"))-(SUMIFS('Safeguard facility data'!BL$4:BL$312,'Safeguard facility data'!$A$4:$A$312,$A104,'Safeguard facility data'!BL$4:BL$312,"&gt;0"))</f>
        <v>896197</v>
      </c>
      <c r="F104" s="67">
        <f>(SUMIFS('Safeguard facility data'!BF$4:BF$312,'Safeguard facility data'!$A$4:$A$312,$A104,'Safeguard facility data'!BF$4:BF$312,"&gt;0"))-(SUMIFS('Safeguard facility data'!BM$4:BM$312,'Safeguard facility data'!$A$4:$A$312,$A104,'Safeguard facility data'!BM$4:BM$312,"&gt;0"))</f>
        <v>1174996</v>
      </c>
      <c r="G104" s="67"/>
      <c r="H104" s="67"/>
      <c r="I104" s="67"/>
      <c r="J104" s="67"/>
      <c r="K104" s="67"/>
      <c r="L104" s="67"/>
      <c r="M104" s="67"/>
      <c r="N104" s="67"/>
      <c r="O104" s="67"/>
      <c r="P104" s="67"/>
      <c r="Q104" s="67"/>
    </row>
    <row r="105" spans="1:17">
      <c r="A105" s="54" t="s">
        <v>396</v>
      </c>
      <c r="B105" s="67">
        <f>(SUMIFS('Safeguard facility data'!BB$4:BB$312,'Safeguard facility data'!$A$4:$A$312,$A105,'Safeguard facility data'!BB$4:BB$312,"&gt;0"))-(SUMIFS('Safeguard facility data'!BI$4:BI$312,'Safeguard facility data'!$A$4:$A$312,$A105,'Safeguard facility data'!BI$4:BI$312,"&gt;0"))</f>
        <v>448015</v>
      </c>
      <c r="C105" s="67">
        <f>(SUMIFS('Safeguard facility data'!BC$4:BC$312,'Safeguard facility data'!$A$4:$A$312,$A105,'Safeguard facility data'!BC$4:BC$312,"&gt;0"))-(SUMIFS('Safeguard facility data'!BJ$4:BJ$312,'Safeguard facility data'!$A$4:$A$312,$A105,'Safeguard facility data'!BJ$4:BJ$312,"&gt;0"))</f>
        <v>448015</v>
      </c>
      <c r="D105" s="67">
        <f>(SUMIFS('Safeguard facility data'!BD$4:BD$312,'Safeguard facility data'!$A$4:$A$312,$A105,'Safeguard facility data'!BD$4:BD$312,"&gt;0"))-(SUMIFS('Safeguard facility data'!BK$4:BK$312,'Safeguard facility data'!$A$4:$A$312,$A105,'Safeguard facility data'!BK$4:BK$312,"&gt;0"))</f>
        <v>448015</v>
      </c>
      <c r="E105" s="67">
        <f>(SUMIFS('Safeguard facility data'!BE$4:BE$312,'Safeguard facility data'!$A$4:$A$312,$A105,'Safeguard facility data'!BE$4:BE$312,"&gt;0"))-(SUMIFS('Safeguard facility data'!BL$4:BL$312,'Safeguard facility data'!$A$4:$A$312,$A105,'Safeguard facility data'!BL$4:BL$312,"&gt;0"))</f>
        <v>0</v>
      </c>
      <c r="F105" s="67">
        <f>(SUMIFS('Safeguard facility data'!BF$4:BF$312,'Safeguard facility data'!$A$4:$A$312,$A105,'Safeguard facility data'!BF$4:BF$312,"&gt;0"))-(SUMIFS('Safeguard facility data'!BM$4:BM$312,'Safeguard facility data'!$A$4:$A$312,$A105,'Safeguard facility data'!BM$4:BM$312,"&gt;0"))</f>
        <v>0</v>
      </c>
      <c r="G105" s="67"/>
      <c r="H105" s="67"/>
      <c r="I105" s="67"/>
      <c r="J105" s="67"/>
      <c r="K105" s="67"/>
      <c r="L105" s="67"/>
      <c r="M105" s="67"/>
      <c r="N105" s="67"/>
      <c r="O105" s="67"/>
      <c r="P105" s="67"/>
      <c r="Q105" s="67"/>
    </row>
    <row r="106" spans="1:17">
      <c r="A106" s="87" t="s">
        <v>397</v>
      </c>
      <c r="B106" s="67">
        <f>(SUMIFS('Safeguard facility data'!BB$4:BB$312,'Safeguard facility data'!$A$4:$A$312,$A106,'Safeguard facility data'!BB$4:BB$312,"&gt;0"))-(SUMIFS('Safeguard facility data'!BI$4:BI$312,'Safeguard facility data'!$A$4:$A$312,$A106,'Safeguard facility data'!BI$4:BI$312,"&gt;0"))</f>
        <v>0</v>
      </c>
      <c r="C106" s="67">
        <f>(SUMIFS('Safeguard facility data'!BC$4:BC$312,'Safeguard facility data'!$A$4:$A$312,$A106,'Safeguard facility data'!BC$4:BC$312,"&gt;0"))-(SUMIFS('Safeguard facility data'!BJ$4:BJ$312,'Safeguard facility data'!$A$4:$A$312,$A106,'Safeguard facility data'!BJ$4:BJ$312,"&gt;0"))</f>
        <v>0</v>
      </c>
      <c r="D106" s="67">
        <f>(SUMIFS('Safeguard facility data'!BD$4:BD$312,'Safeguard facility data'!$A$4:$A$312,$A106,'Safeguard facility data'!BD$4:BD$312,"&gt;0"))-(SUMIFS('Safeguard facility data'!BK$4:BK$312,'Safeguard facility data'!$A$4:$A$312,$A106,'Safeguard facility data'!BK$4:BK$312,"&gt;0"))</f>
        <v>0</v>
      </c>
      <c r="E106" s="67">
        <f>(SUMIFS('Safeguard facility data'!BE$4:BE$312,'Safeguard facility data'!$A$4:$A$312,$A106,'Safeguard facility data'!BE$4:BE$312,"&gt;0"))-(SUMIFS('Safeguard facility data'!BL$4:BL$312,'Safeguard facility data'!$A$4:$A$312,$A106,'Safeguard facility data'!BL$4:BL$312,"&gt;0"))</f>
        <v>-12900</v>
      </c>
      <c r="F106" s="67">
        <f>(SUMIFS('Safeguard facility data'!BF$4:BF$312,'Safeguard facility data'!$A$4:$A$312,$A106,'Safeguard facility data'!BF$4:BF$312,"&gt;0"))-(SUMIFS('Safeguard facility data'!BM$4:BM$312,'Safeguard facility data'!$A$4:$A$312,$A106,'Safeguard facility data'!BM$4:BM$312,"&gt;0"))</f>
        <v>26373</v>
      </c>
      <c r="G106" s="67"/>
      <c r="H106" s="67"/>
      <c r="I106" s="67"/>
      <c r="J106" s="67"/>
      <c r="K106" s="67"/>
      <c r="L106" s="67"/>
      <c r="M106" s="67"/>
      <c r="N106" s="67"/>
      <c r="O106" s="67"/>
      <c r="P106" s="67"/>
      <c r="Q106" s="67"/>
    </row>
    <row r="107" spans="1:17">
      <c r="A107" s="87" t="s">
        <v>398</v>
      </c>
      <c r="B107" s="67">
        <f>(SUMIFS('Safeguard facility data'!BB$4:BB$312,'Safeguard facility data'!$A$4:$A$312,$A107,'Safeguard facility data'!BB$4:BB$312,"&gt;0"))-(SUMIFS('Safeguard facility data'!BI$4:BI$312,'Safeguard facility data'!$A$4:$A$312,$A107,'Safeguard facility data'!BI$4:BI$312,"&gt;0"))</f>
        <v>841783</v>
      </c>
      <c r="C107" s="67">
        <f>(SUMIFS('Safeguard facility data'!BC$4:BC$312,'Safeguard facility data'!$A$4:$A$312,$A107,'Safeguard facility data'!BC$4:BC$312,"&gt;0"))-(SUMIFS('Safeguard facility data'!BJ$4:BJ$312,'Safeguard facility data'!$A$4:$A$312,$A107,'Safeguard facility data'!BJ$4:BJ$312,"&gt;0"))</f>
        <v>796381</v>
      </c>
      <c r="D107" s="67">
        <f>(SUMIFS('Safeguard facility data'!BD$4:BD$312,'Safeguard facility data'!$A$4:$A$312,$A107,'Safeguard facility data'!BD$4:BD$312,"&gt;0"))-(SUMIFS('Safeguard facility data'!BK$4:BK$312,'Safeguard facility data'!$A$4:$A$312,$A107,'Safeguard facility data'!BK$4:BK$312,"&gt;0"))</f>
        <v>694152</v>
      </c>
      <c r="E107" s="67">
        <f>(SUMIFS('Safeguard facility data'!BE$4:BE$312,'Safeguard facility data'!$A$4:$A$312,$A107,'Safeguard facility data'!BE$4:BE$312,"&gt;0"))-(SUMIFS('Safeguard facility data'!BL$4:BL$312,'Safeguard facility data'!$A$4:$A$312,$A107,'Safeguard facility data'!BL$4:BL$312,"&gt;0"))</f>
        <v>646541</v>
      </c>
      <c r="F107" s="67">
        <f>(SUMIFS('Safeguard facility data'!BF$4:BF$312,'Safeguard facility data'!$A$4:$A$312,$A107,'Safeguard facility data'!BF$4:BF$312,"&gt;0"))-(SUMIFS('Safeguard facility data'!BM$4:BM$312,'Safeguard facility data'!$A$4:$A$312,$A107,'Safeguard facility data'!BM$4:BM$312,"&gt;0"))</f>
        <v>22561</v>
      </c>
      <c r="G107" s="67"/>
      <c r="H107" s="67"/>
      <c r="I107" s="67"/>
      <c r="J107" s="67"/>
      <c r="K107" s="67"/>
      <c r="L107" s="67"/>
      <c r="M107" s="67"/>
      <c r="N107" s="67"/>
      <c r="O107" s="67"/>
      <c r="P107" s="67"/>
      <c r="Q107" s="67"/>
    </row>
    <row r="108" spans="1:17">
      <c r="A108" s="87" t="s">
        <v>399</v>
      </c>
      <c r="B108" s="67">
        <f>(SUMIFS('Safeguard facility data'!BB$4:BB$312,'Safeguard facility data'!$A$4:$A$312,$A108,'Safeguard facility data'!BB$4:BB$312,"&gt;0"))-(SUMIFS('Safeguard facility data'!BI$4:BI$312,'Safeguard facility data'!$A$4:$A$312,$A108,'Safeguard facility data'!BI$4:BI$312,"&gt;0"))</f>
        <v>261572</v>
      </c>
      <c r="C108" s="67">
        <f>(SUMIFS('Safeguard facility data'!BC$4:BC$312,'Safeguard facility data'!$A$4:$A$312,$A108,'Safeguard facility data'!BC$4:BC$312,"&gt;0"))-(SUMIFS('Safeguard facility data'!BJ$4:BJ$312,'Safeguard facility data'!$A$4:$A$312,$A108,'Safeguard facility data'!BJ$4:BJ$312,"&gt;0"))</f>
        <v>261572</v>
      </c>
      <c r="D108" s="67">
        <f>(SUMIFS('Safeguard facility data'!BD$4:BD$312,'Safeguard facility data'!$A$4:$A$312,$A108,'Safeguard facility data'!BD$4:BD$312,"&gt;0"))-(SUMIFS('Safeguard facility data'!BK$4:BK$312,'Safeguard facility data'!$A$4:$A$312,$A108,'Safeguard facility data'!BK$4:BK$312,"&gt;0"))</f>
        <v>261572</v>
      </c>
      <c r="E108" s="67">
        <f>(SUMIFS('Safeguard facility data'!BE$4:BE$312,'Safeguard facility data'!$A$4:$A$312,$A108,'Safeguard facility data'!BE$4:BE$312,"&gt;0"))-(SUMIFS('Safeguard facility data'!BL$4:BL$312,'Safeguard facility data'!$A$4:$A$312,$A108,'Safeguard facility data'!BL$4:BL$312,"&gt;0"))</f>
        <v>261572</v>
      </c>
      <c r="F108" s="67">
        <f>(SUMIFS('Safeguard facility data'!BF$4:BF$312,'Safeguard facility data'!$A$4:$A$312,$A108,'Safeguard facility data'!BF$4:BF$312,"&gt;0"))-(SUMIFS('Safeguard facility data'!BM$4:BM$312,'Safeguard facility data'!$A$4:$A$312,$A108,'Safeguard facility data'!BM$4:BM$312,"&gt;0"))</f>
        <v>261572</v>
      </c>
      <c r="G108" s="67"/>
      <c r="H108" s="67"/>
      <c r="I108" s="67"/>
      <c r="J108" s="67"/>
      <c r="K108" s="67"/>
      <c r="L108" s="67"/>
      <c r="M108" s="67"/>
      <c r="N108" s="67"/>
      <c r="O108" s="67"/>
      <c r="P108" s="67"/>
      <c r="Q108" s="67"/>
    </row>
    <row r="109" spans="1:17">
      <c r="A109" s="87" t="s">
        <v>400</v>
      </c>
      <c r="B109" s="67">
        <f>(SUMIFS('Safeguard facility data'!BB$4:BB$312,'Safeguard facility data'!$A$4:$A$312,$A109,'Safeguard facility data'!BB$4:BB$312,"&gt;0"))-(SUMIFS('Safeguard facility data'!BI$4:BI$312,'Safeguard facility data'!$A$4:$A$312,$A109,'Safeguard facility data'!BI$4:BI$312,"&gt;0"))</f>
        <v>616658</v>
      </c>
      <c r="C109" s="67">
        <f>(SUMIFS('Safeguard facility data'!BC$4:BC$312,'Safeguard facility data'!$A$4:$A$312,$A109,'Safeguard facility data'!BC$4:BC$312,"&gt;0"))-(SUMIFS('Safeguard facility data'!BJ$4:BJ$312,'Safeguard facility data'!$A$4:$A$312,$A109,'Safeguard facility data'!BJ$4:BJ$312,"&gt;0"))</f>
        <v>-683658</v>
      </c>
      <c r="D109" s="67">
        <f>(SUMIFS('Safeguard facility data'!BD$4:BD$312,'Safeguard facility data'!$A$4:$A$312,$A109,'Safeguard facility data'!BD$4:BD$312,"&gt;0"))-(SUMIFS('Safeguard facility data'!BK$4:BK$312,'Safeguard facility data'!$A$4:$A$312,$A109,'Safeguard facility data'!BK$4:BK$312,"&gt;0"))</f>
        <v>-632028</v>
      </c>
      <c r="E109" s="67">
        <f>(SUMIFS('Safeguard facility data'!BE$4:BE$312,'Safeguard facility data'!$A$4:$A$312,$A109,'Safeguard facility data'!BE$4:BE$312,"&gt;0"))-(SUMIFS('Safeguard facility data'!BL$4:BL$312,'Safeguard facility data'!$A$4:$A$312,$A109,'Safeguard facility data'!BL$4:BL$312,"&gt;0"))</f>
        <v>2097926</v>
      </c>
      <c r="F109" s="67">
        <f>(SUMIFS('Safeguard facility data'!BF$4:BF$312,'Safeguard facility data'!$A$4:$A$312,$A109,'Safeguard facility data'!BF$4:BF$312,"&gt;0"))-(SUMIFS('Safeguard facility data'!BM$4:BM$312,'Safeguard facility data'!$A$4:$A$312,$A109,'Safeguard facility data'!BM$4:BM$312,"&gt;0"))</f>
        <v>2905687</v>
      </c>
      <c r="G109" s="67"/>
      <c r="H109" s="67"/>
      <c r="I109" s="67"/>
      <c r="J109" s="67"/>
      <c r="K109" s="67"/>
      <c r="L109" s="67"/>
      <c r="M109" s="67"/>
      <c r="N109" s="67"/>
      <c r="O109" s="67"/>
      <c r="P109" s="67"/>
      <c r="Q109" s="67"/>
    </row>
    <row r="110" spans="1:17">
      <c r="A110" s="87" t="s">
        <v>401</v>
      </c>
      <c r="B110" s="67">
        <f>(SUMIFS('Safeguard facility data'!BB$4:BB$312,'Safeguard facility data'!$A$4:$A$312,$A110,'Safeguard facility data'!BB$4:BB$312,"&gt;0"))-(SUMIFS('Safeguard facility data'!BI$4:BI$312,'Safeguard facility data'!$A$4:$A$312,$A110,'Safeguard facility data'!BI$4:BI$312,"&gt;0"))</f>
        <v>118345</v>
      </c>
      <c r="C110" s="67">
        <f>(SUMIFS('Safeguard facility data'!BC$4:BC$312,'Safeguard facility data'!$A$4:$A$312,$A110,'Safeguard facility data'!BC$4:BC$312,"&gt;0"))-(SUMIFS('Safeguard facility data'!BJ$4:BJ$312,'Safeguard facility data'!$A$4:$A$312,$A110,'Safeguard facility data'!BJ$4:BJ$312,"&gt;0"))</f>
        <v>118345</v>
      </c>
      <c r="D110" s="67">
        <f>(SUMIFS('Safeguard facility data'!BD$4:BD$312,'Safeguard facility data'!$A$4:$A$312,$A110,'Safeguard facility data'!BD$4:BD$312,"&gt;0"))-(SUMIFS('Safeguard facility data'!BK$4:BK$312,'Safeguard facility data'!$A$4:$A$312,$A110,'Safeguard facility data'!BK$4:BK$312,"&gt;0"))</f>
        <v>118345</v>
      </c>
      <c r="E110" s="67">
        <f>(SUMIFS('Safeguard facility data'!BE$4:BE$312,'Safeguard facility data'!$A$4:$A$312,$A110,'Safeguard facility data'!BE$4:BE$312,"&gt;0"))-(SUMIFS('Safeguard facility data'!BL$4:BL$312,'Safeguard facility data'!$A$4:$A$312,$A110,'Safeguard facility data'!BL$4:BL$312,"&gt;0"))</f>
        <v>118345</v>
      </c>
      <c r="F110" s="67">
        <f>(SUMIFS('Safeguard facility data'!BF$4:BF$312,'Safeguard facility data'!$A$4:$A$312,$A110,'Safeguard facility data'!BF$4:BF$312,"&gt;0"))-(SUMIFS('Safeguard facility data'!BM$4:BM$312,'Safeguard facility data'!$A$4:$A$312,$A110,'Safeguard facility data'!BM$4:BM$312,"&gt;0"))</f>
        <v>118345</v>
      </c>
      <c r="G110" s="67"/>
      <c r="H110" s="67"/>
      <c r="I110" s="67"/>
      <c r="J110" s="67"/>
      <c r="K110" s="67"/>
      <c r="L110" s="67"/>
      <c r="M110" s="67"/>
      <c r="N110" s="67"/>
      <c r="O110" s="67"/>
      <c r="P110" s="67"/>
      <c r="Q110" s="67"/>
    </row>
    <row r="111" spans="1:17">
      <c r="A111" s="87" t="s">
        <v>402</v>
      </c>
      <c r="B111" s="67">
        <f>(SUMIFS('Safeguard facility data'!BB$4:BB$312,'Safeguard facility data'!$A$4:$A$312,$A111,'Safeguard facility data'!BB$4:BB$312,"&gt;0"))-(SUMIFS('Safeguard facility data'!BI$4:BI$312,'Safeguard facility data'!$A$4:$A$312,$A111,'Safeguard facility data'!BI$4:BI$312,"&gt;0"))</f>
        <v>20716</v>
      </c>
      <c r="C111" s="67">
        <f>(SUMIFS('Safeguard facility data'!BC$4:BC$312,'Safeguard facility data'!$A$4:$A$312,$A111,'Safeguard facility data'!BC$4:BC$312,"&gt;0"))-(SUMIFS('Safeguard facility data'!BJ$4:BJ$312,'Safeguard facility data'!$A$4:$A$312,$A111,'Safeguard facility data'!BJ$4:BJ$312,"&gt;0"))</f>
        <v>21951</v>
      </c>
      <c r="D111" s="67">
        <f>(SUMIFS('Safeguard facility data'!BD$4:BD$312,'Safeguard facility data'!$A$4:$A$312,$A111,'Safeguard facility data'!BD$4:BD$312,"&gt;0"))-(SUMIFS('Safeguard facility data'!BK$4:BK$312,'Safeguard facility data'!$A$4:$A$312,$A111,'Safeguard facility data'!BK$4:BK$312,"&gt;0"))</f>
        <v>30387</v>
      </c>
      <c r="E111" s="67">
        <f>(SUMIFS('Safeguard facility data'!BE$4:BE$312,'Safeguard facility data'!$A$4:$A$312,$A111,'Safeguard facility data'!BE$4:BE$312,"&gt;0"))-(SUMIFS('Safeguard facility data'!BL$4:BL$312,'Safeguard facility data'!$A$4:$A$312,$A111,'Safeguard facility data'!BL$4:BL$312,"&gt;0"))</f>
        <v>32028</v>
      </c>
      <c r="F111" s="67">
        <f>(SUMIFS('Safeguard facility data'!BF$4:BF$312,'Safeguard facility data'!$A$4:$A$312,$A111,'Safeguard facility data'!BF$4:BF$312,"&gt;0"))-(SUMIFS('Safeguard facility data'!BM$4:BM$312,'Safeguard facility data'!$A$4:$A$312,$A111,'Safeguard facility data'!BM$4:BM$312,"&gt;0"))</f>
        <v>18870</v>
      </c>
      <c r="G111" s="67"/>
      <c r="H111" s="67"/>
      <c r="I111" s="67"/>
      <c r="J111" s="67"/>
      <c r="K111" s="67"/>
      <c r="L111" s="67"/>
      <c r="M111" s="67"/>
      <c r="N111" s="67"/>
      <c r="O111" s="67"/>
      <c r="P111" s="67"/>
      <c r="Q111" s="67"/>
    </row>
    <row r="112" spans="1:17">
      <c r="A112" s="87" t="s">
        <v>403</v>
      </c>
      <c r="B112" s="67">
        <f>(SUMIFS('Safeguard facility data'!BB$4:BB$312,'Safeguard facility data'!$A$4:$A$312,$A112,'Safeguard facility data'!BB$4:BB$312,"&gt;0"))-(SUMIFS('Safeguard facility data'!BI$4:BI$312,'Safeguard facility data'!$A$4:$A$312,$A112,'Safeguard facility data'!BI$4:BI$312,"&gt;0"))</f>
        <v>117516</v>
      </c>
      <c r="C112" s="67">
        <f>(SUMIFS('Safeguard facility data'!BC$4:BC$312,'Safeguard facility data'!$A$4:$A$312,$A112,'Safeguard facility data'!BC$4:BC$312,"&gt;0"))-(SUMIFS('Safeguard facility data'!BJ$4:BJ$312,'Safeguard facility data'!$A$4:$A$312,$A112,'Safeguard facility data'!BJ$4:BJ$312,"&gt;0"))</f>
        <v>117516</v>
      </c>
      <c r="D112" s="67">
        <f>(SUMIFS('Safeguard facility data'!BD$4:BD$312,'Safeguard facility data'!$A$4:$A$312,$A112,'Safeguard facility data'!BD$4:BD$312,"&gt;0"))-(SUMIFS('Safeguard facility data'!BK$4:BK$312,'Safeguard facility data'!$A$4:$A$312,$A112,'Safeguard facility data'!BK$4:BK$312,"&gt;0"))</f>
        <v>14815</v>
      </c>
      <c r="E112" s="67">
        <f>(SUMIFS('Safeguard facility data'!BE$4:BE$312,'Safeguard facility data'!$A$4:$A$312,$A112,'Safeguard facility data'!BE$4:BE$312,"&gt;0"))-(SUMIFS('Safeguard facility data'!BL$4:BL$312,'Safeguard facility data'!$A$4:$A$312,$A112,'Safeguard facility data'!BL$4:BL$312,"&gt;0"))</f>
        <v>8273</v>
      </c>
      <c r="F112" s="67">
        <f>(SUMIFS('Safeguard facility data'!BF$4:BF$312,'Safeguard facility data'!$A$4:$A$312,$A112,'Safeguard facility data'!BF$4:BF$312,"&gt;0"))-(SUMIFS('Safeguard facility data'!BM$4:BM$312,'Safeguard facility data'!$A$4:$A$312,$A112,'Safeguard facility data'!BM$4:BM$312,"&gt;0"))</f>
        <v>8247</v>
      </c>
      <c r="G112" s="67"/>
      <c r="H112" s="67"/>
      <c r="I112" s="67"/>
      <c r="J112" s="67"/>
      <c r="K112" s="67"/>
      <c r="L112" s="67"/>
      <c r="M112" s="67"/>
      <c r="N112" s="67"/>
      <c r="O112" s="67"/>
      <c r="P112" s="67"/>
      <c r="Q112" s="67"/>
    </row>
    <row r="113" spans="1:17">
      <c r="A113" s="87" t="s">
        <v>404</v>
      </c>
      <c r="B113" s="67">
        <f>(SUMIFS('Safeguard facility data'!BB$4:BB$312,'Safeguard facility data'!$A$4:$A$312,$A113,'Safeguard facility data'!BB$4:BB$312,"&gt;0"))-(SUMIFS('Safeguard facility data'!BI$4:BI$312,'Safeguard facility data'!$A$4:$A$312,$A113,'Safeguard facility data'!BI$4:BI$312,"&gt;0"))</f>
        <v>146180</v>
      </c>
      <c r="C113" s="67">
        <f>(SUMIFS('Safeguard facility data'!BC$4:BC$312,'Safeguard facility data'!$A$4:$A$312,$A113,'Safeguard facility data'!BC$4:BC$312,"&gt;0"))-(SUMIFS('Safeguard facility data'!BJ$4:BJ$312,'Safeguard facility data'!$A$4:$A$312,$A113,'Safeguard facility data'!BJ$4:BJ$312,"&gt;0"))</f>
        <v>146180</v>
      </c>
      <c r="D113" s="67">
        <f>(SUMIFS('Safeguard facility data'!BD$4:BD$312,'Safeguard facility data'!$A$4:$A$312,$A113,'Safeguard facility data'!BD$4:BD$312,"&gt;0"))-(SUMIFS('Safeguard facility data'!BK$4:BK$312,'Safeguard facility data'!$A$4:$A$312,$A113,'Safeguard facility data'!BK$4:BK$312,"&gt;0"))</f>
        <v>146180</v>
      </c>
      <c r="E113" s="67">
        <f>(SUMIFS('Safeguard facility data'!BE$4:BE$312,'Safeguard facility data'!$A$4:$A$312,$A113,'Safeguard facility data'!BE$4:BE$312,"&gt;0"))-(SUMIFS('Safeguard facility data'!BL$4:BL$312,'Safeguard facility data'!$A$4:$A$312,$A113,'Safeguard facility data'!BL$4:BL$312,"&gt;0"))</f>
        <v>146180</v>
      </c>
      <c r="F113" s="67">
        <f>(SUMIFS('Safeguard facility data'!BF$4:BF$312,'Safeguard facility data'!$A$4:$A$312,$A113,'Safeguard facility data'!BF$4:BF$312,"&gt;0"))-(SUMIFS('Safeguard facility data'!BM$4:BM$312,'Safeguard facility data'!$A$4:$A$312,$A113,'Safeguard facility data'!BM$4:BM$312,"&gt;0"))</f>
        <v>146180</v>
      </c>
      <c r="G113" s="67"/>
      <c r="H113" s="67"/>
      <c r="I113" s="67"/>
      <c r="J113" s="67"/>
      <c r="K113" s="67"/>
      <c r="L113" s="67"/>
      <c r="M113" s="67"/>
      <c r="N113" s="67"/>
      <c r="O113" s="67"/>
      <c r="P113" s="67"/>
      <c r="Q113" s="67"/>
    </row>
    <row r="114" spans="1:17">
      <c r="A114" s="87" t="s">
        <v>405</v>
      </c>
      <c r="B114" s="67">
        <f>(SUMIFS('Safeguard facility data'!BB$4:BB$312,'Safeguard facility data'!$A$4:$A$312,$A114,'Safeguard facility data'!BB$4:BB$312,"&gt;0"))-(SUMIFS('Safeguard facility data'!BI$4:BI$312,'Safeguard facility data'!$A$4:$A$312,$A114,'Safeguard facility data'!BI$4:BI$312,"&gt;0"))</f>
        <v>370100</v>
      </c>
      <c r="C114" s="67">
        <f>(SUMIFS('Safeguard facility data'!BC$4:BC$312,'Safeguard facility data'!$A$4:$A$312,$A114,'Safeguard facility data'!BC$4:BC$312,"&gt;0"))-(SUMIFS('Safeguard facility data'!BJ$4:BJ$312,'Safeguard facility data'!$A$4:$A$312,$A114,'Safeguard facility data'!BJ$4:BJ$312,"&gt;0"))</f>
        <v>96324</v>
      </c>
      <c r="D114" s="67">
        <f>(SUMIFS('Safeguard facility data'!BD$4:BD$312,'Safeguard facility data'!$A$4:$A$312,$A114,'Safeguard facility data'!BD$4:BD$312,"&gt;0"))-(SUMIFS('Safeguard facility data'!BK$4:BK$312,'Safeguard facility data'!$A$4:$A$312,$A114,'Safeguard facility data'!BK$4:BK$312,"&gt;0"))</f>
        <v>179640</v>
      </c>
      <c r="E114" s="67">
        <f>(SUMIFS('Safeguard facility data'!BE$4:BE$312,'Safeguard facility data'!$A$4:$A$312,$A114,'Safeguard facility data'!BE$4:BE$312,"&gt;0"))-(SUMIFS('Safeguard facility data'!BL$4:BL$312,'Safeguard facility data'!$A$4:$A$312,$A114,'Safeguard facility data'!BL$4:BL$312,"&gt;0"))</f>
        <v>204968</v>
      </c>
      <c r="F114" s="67">
        <f>(SUMIFS('Safeguard facility data'!BF$4:BF$312,'Safeguard facility data'!$A$4:$A$312,$A114,'Safeguard facility data'!BF$4:BF$312,"&gt;0"))-(SUMIFS('Safeguard facility data'!BM$4:BM$312,'Safeguard facility data'!$A$4:$A$312,$A114,'Safeguard facility data'!BM$4:BM$312,"&gt;0"))</f>
        <v>978262</v>
      </c>
      <c r="G114" s="67"/>
      <c r="H114" s="67"/>
      <c r="I114" s="67"/>
      <c r="J114" s="67"/>
      <c r="K114" s="67"/>
      <c r="L114" s="67"/>
      <c r="M114" s="67"/>
      <c r="N114" s="67"/>
      <c r="O114" s="67"/>
      <c r="P114" s="67"/>
      <c r="Q114" s="67"/>
    </row>
    <row r="115" spans="1:17">
      <c r="A115" s="54" t="s">
        <v>406</v>
      </c>
      <c r="B115" s="67">
        <f>(SUMIFS('Safeguard facility data'!BB$4:BB$312,'Safeguard facility data'!$A$4:$A$312,$A115,'Safeguard facility data'!BB$4:BB$312,"&gt;0"))-(SUMIFS('Safeguard facility data'!BI$4:BI$312,'Safeguard facility data'!$A$4:$A$312,$A115,'Safeguard facility data'!BI$4:BI$312,"&gt;0"))</f>
        <v>0</v>
      </c>
      <c r="C115" s="67">
        <f>(SUMIFS('Safeguard facility data'!BC$4:BC$312,'Safeguard facility data'!$A$4:$A$312,$A115,'Safeguard facility data'!BC$4:BC$312,"&gt;0"))-(SUMIFS('Safeguard facility data'!BJ$4:BJ$312,'Safeguard facility data'!$A$4:$A$312,$A115,'Safeguard facility data'!BJ$4:BJ$312,"&gt;0"))</f>
        <v>0</v>
      </c>
      <c r="D115" s="67">
        <f>(SUMIFS('Safeguard facility data'!BD$4:BD$312,'Safeguard facility data'!$A$4:$A$312,$A115,'Safeguard facility data'!BD$4:BD$312,"&gt;0"))-(SUMIFS('Safeguard facility data'!BK$4:BK$312,'Safeguard facility data'!$A$4:$A$312,$A115,'Safeguard facility data'!BK$4:BK$312,"&gt;0"))</f>
        <v>0</v>
      </c>
      <c r="E115" s="67">
        <f>(SUMIFS('Safeguard facility data'!BE$4:BE$312,'Safeguard facility data'!$A$4:$A$312,$A115,'Safeguard facility data'!BE$4:BE$312,"&gt;0"))-(SUMIFS('Safeguard facility data'!BL$4:BL$312,'Safeguard facility data'!$A$4:$A$312,$A115,'Safeguard facility data'!BL$4:BL$312,"&gt;0"))</f>
        <v>94169</v>
      </c>
      <c r="F115" s="67">
        <f>(SUMIFS('Safeguard facility data'!BF$4:BF$312,'Safeguard facility data'!$A$4:$A$312,$A115,'Safeguard facility data'!BF$4:BF$312,"&gt;0"))-(SUMIFS('Safeguard facility data'!BM$4:BM$312,'Safeguard facility data'!$A$4:$A$312,$A115,'Safeguard facility data'!BM$4:BM$312,"&gt;0"))</f>
        <v>62075</v>
      </c>
      <c r="G115" s="67"/>
      <c r="H115" s="67"/>
      <c r="I115" s="67"/>
      <c r="J115" s="67"/>
      <c r="K115" s="67"/>
      <c r="L115" s="67"/>
      <c r="M115" s="67"/>
      <c r="N115" s="67"/>
      <c r="O115" s="67"/>
      <c r="P115" s="67"/>
      <c r="Q115" s="67"/>
    </row>
    <row r="116" spans="1:17">
      <c r="A116" s="87" t="s">
        <v>407</v>
      </c>
      <c r="B116" s="67">
        <f>(SUMIFS('Safeguard facility data'!BB$4:BB$312,'Safeguard facility data'!$A$4:$A$312,$A116,'Safeguard facility data'!BB$4:BB$312,"&gt;0"))-(SUMIFS('Safeguard facility data'!BI$4:BI$312,'Safeguard facility data'!$A$4:$A$312,$A116,'Safeguard facility data'!BI$4:BI$312,"&gt;0"))</f>
        <v>79700</v>
      </c>
      <c r="C116" s="67">
        <f>(SUMIFS('Safeguard facility data'!BC$4:BC$312,'Safeguard facility data'!$A$4:$A$312,$A116,'Safeguard facility data'!BC$4:BC$312,"&gt;0"))-(SUMIFS('Safeguard facility data'!BJ$4:BJ$312,'Safeguard facility data'!$A$4:$A$312,$A116,'Safeguard facility data'!BJ$4:BJ$312,"&gt;0"))</f>
        <v>37831</v>
      </c>
      <c r="D116" s="67">
        <f>(SUMIFS('Safeguard facility data'!BD$4:BD$312,'Safeguard facility data'!$A$4:$A$312,$A116,'Safeguard facility data'!BD$4:BD$312,"&gt;0"))-(SUMIFS('Safeguard facility data'!BK$4:BK$312,'Safeguard facility data'!$A$4:$A$312,$A116,'Safeguard facility data'!BK$4:BK$312,"&gt;0"))</f>
        <v>93438</v>
      </c>
      <c r="E116" s="67">
        <f>(SUMIFS('Safeguard facility data'!BE$4:BE$312,'Safeguard facility data'!$A$4:$A$312,$A116,'Safeguard facility data'!BE$4:BE$312,"&gt;0"))-(SUMIFS('Safeguard facility data'!BL$4:BL$312,'Safeguard facility data'!$A$4:$A$312,$A116,'Safeguard facility data'!BL$4:BL$312,"&gt;0"))</f>
        <v>88366</v>
      </c>
      <c r="F116" s="67">
        <f>(SUMIFS('Safeguard facility data'!BF$4:BF$312,'Safeguard facility data'!$A$4:$A$312,$A116,'Safeguard facility data'!BF$4:BF$312,"&gt;0"))-(SUMIFS('Safeguard facility data'!BM$4:BM$312,'Safeguard facility data'!$A$4:$A$312,$A116,'Safeguard facility data'!BM$4:BM$312,"&gt;0"))</f>
        <v>48112</v>
      </c>
      <c r="G116" s="67"/>
      <c r="H116" s="67"/>
      <c r="I116" s="67"/>
      <c r="J116" s="67"/>
      <c r="K116" s="67"/>
      <c r="L116" s="67"/>
      <c r="M116" s="67"/>
      <c r="N116" s="67"/>
      <c r="O116" s="67"/>
      <c r="P116" s="67"/>
      <c r="Q116" s="67"/>
    </row>
    <row r="117" spans="1:17">
      <c r="A117" s="87" t="s">
        <v>408</v>
      </c>
      <c r="B117" s="67">
        <f>(SUMIFS('Safeguard facility data'!BB$4:BB$312,'Safeguard facility data'!$A$4:$A$312,$A117,'Safeguard facility data'!BB$4:BB$312,"&gt;0"))-(SUMIFS('Safeguard facility data'!BI$4:BI$312,'Safeguard facility data'!$A$4:$A$312,$A117,'Safeguard facility data'!BI$4:BI$312,"&gt;0"))</f>
        <v>125896</v>
      </c>
      <c r="C117" s="67">
        <f>(SUMIFS('Safeguard facility data'!BC$4:BC$312,'Safeguard facility data'!$A$4:$A$312,$A117,'Safeguard facility data'!BC$4:BC$312,"&gt;0"))-(SUMIFS('Safeguard facility data'!BJ$4:BJ$312,'Safeguard facility data'!$A$4:$A$312,$A117,'Safeguard facility data'!BJ$4:BJ$312,"&gt;0"))</f>
        <v>125896</v>
      </c>
      <c r="D117" s="67">
        <f>(SUMIFS('Safeguard facility data'!BD$4:BD$312,'Safeguard facility data'!$A$4:$A$312,$A117,'Safeguard facility data'!BD$4:BD$312,"&gt;0"))-(SUMIFS('Safeguard facility data'!BK$4:BK$312,'Safeguard facility data'!$A$4:$A$312,$A117,'Safeguard facility data'!BK$4:BK$312,"&gt;0"))</f>
        <v>125896</v>
      </c>
      <c r="E117" s="67">
        <f>(SUMIFS('Safeguard facility data'!BE$4:BE$312,'Safeguard facility data'!$A$4:$A$312,$A117,'Safeguard facility data'!BE$4:BE$312,"&gt;0"))-(SUMIFS('Safeguard facility data'!BL$4:BL$312,'Safeguard facility data'!$A$4:$A$312,$A117,'Safeguard facility data'!BL$4:BL$312,"&gt;0"))</f>
        <v>125896</v>
      </c>
      <c r="F117" s="67">
        <f>(SUMIFS('Safeguard facility data'!BF$4:BF$312,'Safeguard facility data'!$A$4:$A$312,$A117,'Safeguard facility data'!BF$4:BF$312,"&gt;0"))-(SUMIFS('Safeguard facility data'!BM$4:BM$312,'Safeguard facility data'!$A$4:$A$312,$A117,'Safeguard facility data'!BM$4:BM$312,"&gt;0"))</f>
        <v>140745</v>
      </c>
      <c r="G117" s="67"/>
      <c r="H117" s="67"/>
      <c r="I117" s="67"/>
      <c r="J117" s="67"/>
      <c r="K117" s="67"/>
      <c r="L117" s="67"/>
      <c r="M117" s="67"/>
      <c r="N117" s="67"/>
      <c r="O117" s="67"/>
      <c r="P117" s="67"/>
      <c r="Q117" s="67"/>
    </row>
    <row r="118" spans="1:17">
      <c r="A118" s="87" t="s">
        <v>409</v>
      </c>
      <c r="B118" s="67">
        <f>(SUMIFS('Safeguard facility data'!BB$4:BB$312,'Safeguard facility data'!$A$4:$A$312,$A118,'Safeguard facility data'!BB$4:BB$312,"&gt;0"))-(SUMIFS('Safeguard facility data'!BI$4:BI$312,'Safeguard facility data'!$A$4:$A$312,$A118,'Safeguard facility data'!BI$4:BI$312,"&gt;0"))</f>
        <v>-868</v>
      </c>
      <c r="C118" s="67">
        <f>(SUMIFS('Safeguard facility data'!BC$4:BC$312,'Safeguard facility data'!$A$4:$A$312,$A118,'Safeguard facility data'!BC$4:BC$312,"&gt;0"))-(SUMIFS('Safeguard facility data'!BJ$4:BJ$312,'Safeguard facility data'!$A$4:$A$312,$A118,'Safeguard facility data'!BJ$4:BJ$312,"&gt;0"))</f>
        <v>4269</v>
      </c>
      <c r="D118" s="67">
        <f>(SUMIFS('Safeguard facility data'!BD$4:BD$312,'Safeguard facility data'!$A$4:$A$312,$A118,'Safeguard facility data'!BD$4:BD$312,"&gt;0"))-(SUMIFS('Safeguard facility data'!BK$4:BK$312,'Safeguard facility data'!$A$4:$A$312,$A118,'Safeguard facility data'!BK$4:BK$312,"&gt;0"))</f>
        <v>-2025</v>
      </c>
      <c r="E118" s="67">
        <f>(SUMIFS('Safeguard facility data'!BE$4:BE$312,'Safeguard facility data'!$A$4:$A$312,$A118,'Safeguard facility data'!BE$4:BE$312,"&gt;0"))-(SUMIFS('Safeguard facility data'!BL$4:BL$312,'Safeguard facility data'!$A$4:$A$312,$A118,'Safeguard facility data'!BL$4:BL$312,"&gt;0"))</f>
        <v>-5760</v>
      </c>
      <c r="F118" s="67">
        <f>(SUMIFS('Safeguard facility data'!BF$4:BF$312,'Safeguard facility data'!$A$4:$A$312,$A118,'Safeguard facility data'!BF$4:BF$312,"&gt;0"))-(SUMIFS('Safeguard facility data'!BM$4:BM$312,'Safeguard facility data'!$A$4:$A$312,$A118,'Safeguard facility data'!BM$4:BM$312,"&gt;0"))</f>
        <v>-3587</v>
      </c>
      <c r="G118" s="67"/>
      <c r="H118" s="67"/>
      <c r="I118" s="67"/>
      <c r="J118" s="67"/>
      <c r="K118" s="67"/>
      <c r="L118" s="67"/>
      <c r="M118" s="67"/>
      <c r="N118" s="67"/>
      <c r="O118" s="67"/>
      <c r="P118" s="67"/>
      <c r="Q118" s="67"/>
    </row>
    <row r="119" spans="1:17">
      <c r="A119" s="87" t="s">
        <v>410</v>
      </c>
      <c r="B119" s="67">
        <f>(SUMIFS('Safeguard facility data'!BB$4:BB$312,'Safeguard facility data'!$A$4:$A$312,$A119,'Safeguard facility data'!BB$4:BB$312,"&gt;0"))-(SUMIFS('Safeguard facility data'!BI$4:BI$312,'Safeguard facility data'!$A$4:$A$312,$A119,'Safeguard facility data'!BI$4:BI$312,"&gt;0"))</f>
        <v>0</v>
      </c>
      <c r="C119" s="67">
        <f>(SUMIFS('Safeguard facility data'!BC$4:BC$312,'Safeguard facility data'!$A$4:$A$312,$A119,'Safeguard facility data'!BC$4:BC$312,"&gt;0"))-(SUMIFS('Safeguard facility data'!BJ$4:BJ$312,'Safeguard facility data'!$A$4:$A$312,$A119,'Safeguard facility data'!BJ$4:BJ$312,"&gt;0"))</f>
        <v>0</v>
      </c>
      <c r="D119" s="67">
        <f>(SUMIFS('Safeguard facility data'!BD$4:BD$312,'Safeguard facility data'!$A$4:$A$312,$A119,'Safeguard facility data'!BD$4:BD$312,"&gt;0"))-(SUMIFS('Safeguard facility data'!BK$4:BK$312,'Safeguard facility data'!$A$4:$A$312,$A119,'Safeguard facility data'!BK$4:BK$312,"&gt;0"))</f>
        <v>0</v>
      </c>
      <c r="E119" s="67">
        <f>(SUMIFS('Safeguard facility data'!BE$4:BE$312,'Safeguard facility data'!$A$4:$A$312,$A119,'Safeguard facility data'!BE$4:BE$312,"&gt;0"))-(SUMIFS('Safeguard facility data'!BL$4:BL$312,'Safeguard facility data'!$A$4:$A$312,$A119,'Safeguard facility data'!BL$4:BL$312,"&gt;0"))</f>
        <v>-103695</v>
      </c>
      <c r="F119" s="67">
        <f>(SUMIFS('Safeguard facility data'!BF$4:BF$312,'Safeguard facility data'!$A$4:$A$312,$A119,'Safeguard facility data'!BF$4:BF$312,"&gt;0"))-(SUMIFS('Safeguard facility data'!BM$4:BM$312,'Safeguard facility data'!$A$4:$A$312,$A119,'Safeguard facility data'!BM$4:BM$312,"&gt;0"))</f>
        <v>897</v>
      </c>
      <c r="G119" s="67"/>
      <c r="H119" s="67"/>
      <c r="I119" s="67"/>
      <c r="J119" s="67"/>
      <c r="K119" s="67"/>
      <c r="L119" s="67"/>
      <c r="M119" s="67"/>
      <c r="N119" s="67"/>
      <c r="O119" s="67"/>
      <c r="P119" s="67"/>
      <c r="Q119" s="67"/>
    </row>
    <row r="120" spans="1:17">
      <c r="A120" s="87" t="s">
        <v>411</v>
      </c>
      <c r="B120" s="67">
        <f>(SUMIFS('Safeguard facility data'!BB$4:BB$312,'Safeguard facility data'!$A$4:$A$312,$A120,'Safeguard facility data'!BB$4:BB$312,"&gt;0"))-(SUMIFS('Safeguard facility data'!BI$4:BI$312,'Safeguard facility data'!$A$4:$A$312,$A120,'Safeguard facility data'!BI$4:BI$312,"&gt;0"))</f>
        <v>613650</v>
      </c>
      <c r="C120" s="67">
        <f>(SUMIFS('Safeguard facility data'!BC$4:BC$312,'Safeguard facility data'!$A$4:$A$312,$A120,'Safeguard facility data'!BC$4:BC$312,"&gt;0"))-(SUMIFS('Safeguard facility data'!BJ$4:BJ$312,'Safeguard facility data'!$A$4:$A$312,$A120,'Safeguard facility data'!BJ$4:BJ$312,"&gt;0"))</f>
        <v>546115</v>
      </c>
      <c r="D120" s="67">
        <f>(SUMIFS('Safeguard facility data'!BD$4:BD$312,'Safeguard facility data'!$A$4:$A$312,$A120,'Safeguard facility data'!BD$4:BD$312,"&gt;0"))-(SUMIFS('Safeguard facility data'!BK$4:BK$312,'Safeguard facility data'!$A$4:$A$312,$A120,'Safeguard facility data'!BK$4:BK$312,"&gt;0"))</f>
        <v>587138</v>
      </c>
      <c r="E120" s="67">
        <f>(SUMIFS('Safeguard facility data'!BE$4:BE$312,'Safeguard facility data'!$A$4:$A$312,$A120,'Safeguard facility data'!BE$4:BE$312,"&gt;0"))-(SUMIFS('Safeguard facility data'!BL$4:BL$312,'Safeguard facility data'!$A$4:$A$312,$A120,'Safeguard facility data'!BL$4:BL$312,"&gt;0"))</f>
        <v>599595</v>
      </c>
      <c r="F120" s="67">
        <f>(SUMIFS('Safeguard facility data'!BF$4:BF$312,'Safeguard facility data'!$A$4:$A$312,$A120,'Safeguard facility data'!BF$4:BF$312,"&gt;0"))-(SUMIFS('Safeguard facility data'!BM$4:BM$312,'Safeguard facility data'!$A$4:$A$312,$A120,'Safeguard facility data'!BM$4:BM$312,"&gt;0"))</f>
        <v>70554</v>
      </c>
      <c r="G120" s="67"/>
      <c r="H120" s="67"/>
      <c r="I120" s="67"/>
      <c r="J120" s="67"/>
      <c r="K120" s="67"/>
      <c r="L120" s="67"/>
      <c r="M120" s="67"/>
      <c r="N120" s="67"/>
      <c r="O120" s="67"/>
      <c r="P120" s="67"/>
      <c r="Q120" s="67"/>
    </row>
    <row r="121" spans="1:17">
      <c r="A121" s="87" t="s">
        <v>412</v>
      </c>
      <c r="B121" s="67">
        <f>(SUMIFS('Safeguard facility data'!BB$4:BB$312,'Safeguard facility data'!$A$4:$A$312,$A121,'Safeguard facility data'!BB$4:BB$312,"&gt;0"))-(SUMIFS('Safeguard facility data'!BI$4:BI$312,'Safeguard facility data'!$A$4:$A$312,$A121,'Safeguard facility data'!BI$4:BI$312,"&gt;0"))</f>
        <v>0</v>
      </c>
      <c r="C121" s="67">
        <f>(SUMIFS('Safeguard facility data'!BC$4:BC$312,'Safeguard facility data'!$A$4:$A$312,$A121,'Safeguard facility data'!BC$4:BC$312,"&gt;0"))-(SUMIFS('Safeguard facility data'!BJ$4:BJ$312,'Safeguard facility data'!$A$4:$A$312,$A121,'Safeguard facility data'!BJ$4:BJ$312,"&gt;0"))</f>
        <v>0</v>
      </c>
      <c r="D121" s="67">
        <f>(SUMIFS('Safeguard facility data'!BD$4:BD$312,'Safeguard facility data'!$A$4:$A$312,$A121,'Safeguard facility data'!BD$4:BD$312,"&gt;0"))-(SUMIFS('Safeguard facility data'!BK$4:BK$312,'Safeguard facility data'!$A$4:$A$312,$A121,'Safeguard facility data'!BK$4:BK$312,"&gt;0"))</f>
        <v>0</v>
      </c>
      <c r="E121" s="67">
        <f>(SUMIFS('Safeguard facility data'!BE$4:BE$312,'Safeguard facility data'!$A$4:$A$312,$A121,'Safeguard facility data'!BE$4:BE$312,"&gt;0"))-(SUMIFS('Safeguard facility data'!BL$4:BL$312,'Safeguard facility data'!$A$4:$A$312,$A121,'Safeguard facility data'!BL$4:BL$312,"&gt;0"))</f>
        <v>0</v>
      </c>
      <c r="F121" s="67">
        <f>(SUMIFS('Safeguard facility data'!BF$4:BF$312,'Safeguard facility data'!$A$4:$A$312,$A121,'Safeguard facility data'!BF$4:BF$312,"&gt;0"))-(SUMIFS('Safeguard facility data'!BM$4:BM$312,'Safeguard facility data'!$A$4:$A$312,$A121,'Safeguard facility data'!BM$4:BM$312,"&gt;0"))</f>
        <v>8882</v>
      </c>
      <c r="G121" s="67"/>
      <c r="H121" s="67"/>
      <c r="I121" s="67"/>
      <c r="J121" s="67"/>
      <c r="K121" s="67"/>
      <c r="L121" s="67"/>
      <c r="M121" s="67"/>
      <c r="N121" s="67"/>
      <c r="O121" s="67"/>
      <c r="P121" s="67"/>
      <c r="Q121" s="67"/>
    </row>
    <row r="122" spans="1:17">
      <c r="A122" s="87" t="s">
        <v>413</v>
      </c>
      <c r="B122" s="67">
        <f>(SUMIFS('Safeguard facility data'!BB$4:BB$312,'Safeguard facility data'!$A$4:$A$312,$A122,'Safeguard facility data'!BB$4:BB$312,"&gt;0"))-(SUMIFS('Safeguard facility data'!BI$4:BI$312,'Safeguard facility data'!$A$4:$A$312,$A122,'Safeguard facility data'!BI$4:BI$312,"&gt;0"))</f>
        <v>1000485</v>
      </c>
      <c r="C122" s="67">
        <f>(SUMIFS('Safeguard facility data'!BC$4:BC$312,'Safeguard facility data'!$A$4:$A$312,$A122,'Safeguard facility data'!BC$4:BC$312,"&gt;0"))-(SUMIFS('Safeguard facility data'!BJ$4:BJ$312,'Safeguard facility data'!$A$4:$A$312,$A122,'Safeguard facility data'!BJ$4:BJ$312,"&gt;0"))</f>
        <v>1012689</v>
      </c>
      <c r="D122" s="67">
        <f>(SUMIFS('Safeguard facility data'!BD$4:BD$312,'Safeguard facility data'!$A$4:$A$312,$A122,'Safeguard facility data'!BD$4:BD$312,"&gt;0"))-(SUMIFS('Safeguard facility data'!BK$4:BK$312,'Safeguard facility data'!$A$4:$A$312,$A122,'Safeguard facility data'!BK$4:BK$312,"&gt;0"))</f>
        <v>927938</v>
      </c>
      <c r="E122" s="67">
        <f>(SUMIFS('Safeguard facility data'!BE$4:BE$312,'Safeguard facility data'!$A$4:$A$312,$A122,'Safeguard facility data'!BE$4:BE$312,"&gt;0"))-(SUMIFS('Safeguard facility data'!BL$4:BL$312,'Safeguard facility data'!$A$4:$A$312,$A122,'Safeguard facility data'!BL$4:BL$312,"&gt;0"))</f>
        <v>922772</v>
      </c>
      <c r="F122" s="67">
        <f>(SUMIFS('Safeguard facility data'!BF$4:BF$312,'Safeguard facility data'!$A$4:$A$312,$A122,'Safeguard facility data'!BF$4:BF$312,"&gt;0"))-(SUMIFS('Safeguard facility data'!BM$4:BM$312,'Safeguard facility data'!$A$4:$A$312,$A122,'Safeguard facility data'!BM$4:BM$312,"&gt;0"))</f>
        <v>-30461</v>
      </c>
      <c r="G122" s="67"/>
      <c r="H122" s="67"/>
      <c r="I122" s="67"/>
      <c r="J122" s="67"/>
      <c r="K122" s="67"/>
      <c r="L122" s="67"/>
      <c r="M122" s="67"/>
      <c r="N122" s="67"/>
      <c r="O122" s="67"/>
      <c r="P122" s="67"/>
      <c r="Q122" s="67"/>
    </row>
    <row r="123" spans="1:17">
      <c r="A123" s="87" t="s">
        <v>414</v>
      </c>
      <c r="B123" s="67">
        <f>(SUMIFS('Safeguard facility data'!BB$4:BB$312,'Safeguard facility data'!$A$4:$A$312,$A123,'Safeguard facility data'!BB$4:BB$312,"&gt;0"))-(SUMIFS('Safeguard facility data'!BI$4:BI$312,'Safeguard facility data'!$A$4:$A$312,$A123,'Safeguard facility data'!BI$4:BI$312,"&gt;0"))</f>
        <v>846998</v>
      </c>
      <c r="C123" s="67">
        <f>(SUMIFS('Safeguard facility data'!BC$4:BC$312,'Safeguard facility data'!$A$4:$A$312,$A123,'Safeguard facility data'!BC$4:BC$312,"&gt;0"))-(SUMIFS('Safeguard facility data'!BJ$4:BJ$312,'Safeguard facility data'!$A$4:$A$312,$A123,'Safeguard facility data'!BJ$4:BJ$312,"&gt;0"))</f>
        <v>447122</v>
      </c>
      <c r="D123" s="67">
        <f>(SUMIFS('Safeguard facility data'!BD$4:BD$312,'Safeguard facility data'!$A$4:$A$312,$A123,'Safeguard facility data'!BD$4:BD$312,"&gt;0"))-(SUMIFS('Safeguard facility data'!BK$4:BK$312,'Safeguard facility data'!$A$4:$A$312,$A123,'Safeguard facility data'!BK$4:BK$312,"&gt;0"))</f>
        <v>472061</v>
      </c>
      <c r="E123" s="67">
        <f>(SUMIFS('Safeguard facility data'!BE$4:BE$312,'Safeguard facility data'!$A$4:$A$312,$A123,'Safeguard facility data'!BE$4:BE$312,"&gt;0"))-(SUMIFS('Safeguard facility data'!BL$4:BL$312,'Safeguard facility data'!$A$4:$A$312,$A123,'Safeguard facility data'!BL$4:BL$312,"&gt;0"))</f>
        <v>472418</v>
      </c>
      <c r="F123" s="67">
        <f>(SUMIFS('Safeguard facility data'!BF$4:BF$312,'Safeguard facility data'!$A$4:$A$312,$A123,'Safeguard facility data'!BF$4:BF$312,"&gt;0"))-(SUMIFS('Safeguard facility data'!BM$4:BM$312,'Safeguard facility data'!$A$4:$A$312,$A123,'Safeguard facility data'!BM$4:BM$312,"&gt;0"))</f>
        <v>168604</v>
      </c>
      <c r="G123" s="67"/>
      <c r="H123" s="67"/>
      <c r="I123" s="67"/>
      <c r="J123" s="67"/>
      <c r="K123" s="67"/>
      <c r="L123" s="67"/>
      <c r="M123" s="67"/>
      <c r="N123" s="67"/>
      <c r="O123" s="67"/>
      <c r="P123" s="67"/>
      <c r="Q123" s="67"/>
    </row>
    <row r="124" spans="1:17">
      <c r="A124" s="87" t="s">
        <v>415</v>
      </c>
      <c r="B124" s="67">
        <f>(SUMIFS('Safeguard facility data'!BB$4:BB$312,'Safeguard facility data'!$A$4:$A$312,$A124,'Safeguard facility data'!BB$4:BB$312,"&gt;0"))-(SUMIFS('Safeguard facility data'!BI$4:BI$312,'Safeguard facility data'!$A$4:$A$312,$A124,'Safeguard facility data'!BI$4:BI$312,"&gt;0"))</f>
        <v>143095</v>
      </c>
      <c r="C124" s="67">
        <f>(SUMIFS('Safeguard facility data'!BC$4:BC$312,'Safeguard facility data'!$A$4:$A$312,$A124,'Safeguard facility data'!BC$4:BC$312,"&gt;0"))-(SUMIFS('Safeguard facility data'!BJ$4:BJ$312,'Safeguard facility data'!$A$4:$A$312,$A124,'Safeguard facility data'!BJ$4:BJ$312,"&gt;0"))</f>
        <v>143095</v>
      </c>
      <c r="D124" s="67">
        <f>(SUMIFS('Safeguard facility data'!BD$4:BD$312,'Safeguard facility data'!$A$4:$A$312,$A124,'Safeguard facility data'!BD$4:BD$312,"&gt;0"))-(SUMIFS('Safeguard facility data'!BK$4:BK$312,'Safeguard facility data'!$A$4:$A$312,$A124,'Safeguard facility data'!BK$4:BK$312,"&gt;0"))</f>
        <v>33209</v>
      </c>
      <c r="E124" s="67">
        <f>(SUMIFS('Safeguard facility data'!BE$4:BE$312,'Safeguard facility data'!$A$4:$A$312,$A124,'Safeguard facility data'!BE$4:BE$312,"&gt;0"))-(SUMIFS('Safeguard facility data'!BL$4:BL$312,'Safeguard facility data'!$A$4:$A$312,$A124,'Safeguard facility data'!BL$4:BL$312,"&gt;0"))</f>
        <v>31430</v>
      </c>
      <c r="F124" s="67">
        <f>(SUMIFS('Safeguard facility data'!BF$4:BF$312,'Safeguard facility data'!$A$4:$A$312,$A124,'Safeguard facility data'!BF$4:BF$312,"&gt;0"))-(SUMIFS('Safeguard facility data'!BM$4:BM$312,'Safeguard facility data'!$A$4:$A$312,$A124,'Safeguard facility data'!BM$4:BM$312,"&gt;0"))</f>
        <v>143095</v>
      </c>
      <c r="G124" s="67"/>
      <c r="H124" s="67"/>
      <c r="I124" s="67"/>
      <c r="J124" s="67"/>
      <c r="K124" s="67"/>
      <c r="L124" s="67"/>
      <c r="M124" s="67"/>
      <c r="N124" s="67"/>
      <c r="O124" s="67"/>
      <c r="P124" s="67"/>
      <c r="Q124" s="67"/>
    </row>
    <row r="125" spans="1:17">
      <c r="A125" s="87" t="s">
        <v>416</v>
      </c>
      <c r="B125" s="67">
        <f>(SUMIFS('Safeguard facility data'!BB$4:BB$312,'Safeguard facility data'!$A$4:$A$312,$A125,'Safeguard facility data'!BB$4:BB$312,"&gt;0"))-(SUMIFS('Safeguard facility data'!BI$4:BI$312,'Safeguard facility data'!$A$4:$A$312,$A125,'Safeguard facility data'!BI$4:BI$312,"&gt;0"))</f>
        <v>-5186</v>
      </c>
      <c r="C125" s="67">
        <f>(SUMIFS('Safeguard facility data'!BC$4:BC$312,'Safeguard facility data'!$A$4:$A$312,$A125,'Safeguard facility data'!BC$4:BC$312,"&gt;0"))-(SUMIFS('Safeguard facility data'!BJ$4:BJ$312,'Safeguard facility data'!$A$4:$A$312,$A125,'Safeguard facility data'!BJ$4:BJ$312,"&gt;0"))</f>
        <v>-18037</v>
      </c>
      <c r="D125" s="67">
        <f>(SUMIFS('Safeguard facility data'!BD$4:BD$312,'Safeguard facility data'!$A$4:$A$312,$A125,'Safeguard facility data'!BD$4:BD$312,"&gt;0"))-(SUMIFS('Safeguard facility data'!BK$4:BK$312,'Safeguard facility data'!$A$4:$A$312,$A125,'Safeguard facility data'!BK$4:BK$312,"&gt;0"))</f>
        <v>-12761</v>
      </c>
      <c r="E125" s="67">
        <f>(SUMIFS('Safeguard facility data'!BE$4:BE$312,'Safeguard facility data'!$A$4:$A$312,$A125,'Safeguard facility data'!BE$4:BE$312,"&gt;0"))-(SUMIFS('Safeguard facility data'!BL$4:BL$312,'Safeguard facility data'!$A$4:$A$312,$A125,'Safeguard facility data'!BL$4:BL$312,"&gt;0"))</f>
        <v>-8988</v>
      </c>
      <c r="F125" s="67">
        <f>(SUMIFS('Safeguard facility data'!BF$4:BF$312,'Safeguard facility data'!$A$4:$A$312,$A125,'Safeguard facility data'!BF$4:BF$312,"&gt;0"))-(SUMIFS('Safeguard facility data'!BM$4:BM$312,'Safeguard facility data'!$A$4:$A$312,$A125,'Safeguard facility data'!BM$4:BM$312,"&gt;0"))</f>
        <v>3428</v>
      </c>
      <c r="G125" s="67"/>
      <c r="H125" s="67"/>
      <c r="I125" s="67"/>
      <c r="J125" s="67"/>
      <c r="K125" s="67"/>
      <c r="L125" s="67"/>
      <c r="M125" s="67"/>
      <c r="N125" s="67"/>
      <c r="O125" s="67"/>
      <c r="P125" s="67"/>
      <c r="Q125" s="67"/>
    </row>
    <row r="126" spans="1:17">
      <c r="A126" s="87" t="s">
        <v>417</v>
      </c>
      <c r="B126" s="67">
        <f>(SUMIFS('Safeguard facility data'!BB$4:BB$312,'Safeguard facility data'!$A$4:$A$312,$A126,'Safeguard facility data'!BB$4:BB$312,"&gt;0"))-(SUMIFS('Safeguard facility data'!BI$4:BI$312,'Safeguard facility data'!$A$4:$A$312,$A126,'Safeguard facility data'!BI$4:BI$312,"&gt;0"))</f>
        <v>177016</v>
      </c>
      <c r="C126" s="67">
        <f>(SUMIFS('Safeguard facility data'!BC$4:BC$312,'Safeguard facility data'!$A$4:$A$312,$A126,'Safeguard facility data'!BC$4:BC$312,"&gt;0"))-(SUMIFS('Safeguard facility data'!BJ$4:BJ$312,'Safeguard facility data'!$A$4:$A$312,$A126,'Safeguard facility data'!BJ$4:BJ$312,"&gt;0"))</f>
        <v>184205</v>
      </c>
      <c r="D126" s="67">
        <f>(SUMIFS('Safeguard facility data'!BD$4:BD$312,'Safeguard facility data'!$A$4:$A$312,$A126,'Safeguard facility data'!BD$4:BD$312,"&gt;0"))-(SUMIFS('Safeguard facility data'!BK$4:BK$312,'Safeguard facility data'!$A$4:$A$312,$A126,'Safeguard facility data'!BK$4:BK$312,"&gt;0"))</f>
        <v>165655</v>
      </c>
      <c r="E126" s="67">
        <f>(SUMIFS('Safeguard facility data'!BE$4:BE$312,'Safeguard facility data'!$A$4:$A$312,$A126,'Safeguard facility data'!BE$4:BE$312,"&gt;0"))-(SUMIFS('Safeguard facility data'!BL$4:BL$312,'Safeguard facility data'!$A$4:$A$312,$A126,'Safeguard facility data'!BL$4:BL$312,"&gt;0"))</f>
        <v>180709</v>
      </c>
      <c r="F126" s="67">
        <f>(SUMIFS('Safeguard facility data'!BF$4:BF$312,'Safeguard facility data'!$A$4:$A$312,$A126,'Safeguard facility data'!BF$4:BF$312,"&gt;0"))-(SUMIFS('Safeguard facility data'!BM$4:BM$312,'Safeguard facility data'!$A$4:$A$312,$A126,'Safeguard facility data'!BM$4:BM$312,"&gt;0"))</f>
        <v>126254</v>
      </c>
      <c r="G126" s="67"/>
      <c r="H126" s="67"/>
      <c r="I126" s="67"/>
      <c r="J126" s="67"/>
      <c r="K126" s="67"/>
      <c r="L126" s="67"/>
      <c r="M126" s="67"/>
      <c r="N126" s="67"/>
      <c r="O126" s="67"/>
      <c r="P126" s="67"/>
      <c r="Q126" s="67"/>
    </row>
    <row r="127" spans="1:17">
      <c r="A127" s="87" t="s">
        <v>418</v>
      </c>
      <c r="B127" s="67">
        <f>(SUMIFS('Safeguard facility data'!BB$4:BB$312,'Safeguard facility data'!$A$4:$A$312,$A127,'Safeguard facility data'!BB$4:BB$312,"&gt;0"))-(SUMIFS('Safeguard facility data'!BI$4:BI$312,'Safeguard facility data'!$A$4:$A$312,$A127,'Safeguard facility data'!BI$4:BI$312,"&gt;0"))</f>
        <v>8428</v>
      </c>
      <c r="C127" s="67">
        <f>(SUMIFS('Safeguard facility data'!BC$4:BC$312,'Safeguard facility data'!$A$4:$A$312,$A127,'Safeguard facility data'!BC$4:BC$312,"&gt;0"))-(SUMIFS('Safeguard facility data'!BJ$4:BJ$312,'Safeguard facility data'!$A$4:$A$312,$A127,'Safeguard facility data'!BJ$4:BJ$312,"&gt;0"))</f>
        <v>-14740</v>
      </c>
      <c r="D127" s="67">
        <f>(SUMIFS('Safeguard facility data'!BD$4:BD$312,'Safeguard facility data'!$A$4:$A$312,$A127,'Safeguard facility data'!BD$4:BD$312,"&gt;0"))-(SUMIFS('Safeguard facility data'!BK$4:BK$312,'Safeguard facility data'!$A$4:$A$312,$A127,'Safeguard facility data'!BK$4:BK$312,"&gt;0"))</f>
        <v>46063</v>
      </c>
      <c r="E127" s="67">
        <f>(SUMIFS('Safeguard facility data'!BE$4:BE$312,'Safeguard facility data'!$A$4:$A$312,$A127,'Safeguard facility data'!BE$4:BE$312,"&gt;0"))-(SUMIFS('Safeguard facility data'!BL$4:BL$312,'Safeguard facility data'!$A$4:$A$312,$A127,'Safeguard facility data'!BL$4:BL$312,"&gt;0"))</f>
        <v>31310</v>
      </c>
      <c r="F127" s="67">
        <f>(SUMIFS('Safeguard facility data'!BF$4:BF$312,'Safeguard facility data'!$A$4:$A$312,$A127,'Safeguard facility data'!BF$4:BF$312,"&gt;0"))-(SUMIFS('Safeguard facility data'!BM$4:BM$312,'Safeguard facility data'!$A$4:$A$312,$A127,'Safeguard facility data'!BM$4:BM$312,"&gt;0"))</f>
        <v>35091</v>
      </c>
      <c r="G127" s="67"/>
      <c r="H127" s="67"/>
      <c r="I127" s="67"/>
      <c r="J127" s="67"/>
      <c r="K127" s="67"/>
      <c r="L127" s="67"/>
      <c r="M127" s="67"/>
      <c r="N127" s="67"/>
      <c r="O127" s="67"/>
      <c r="P127" s="67"/>
      <c r="Q127" s="67"/>
    </row>
    <row r="128" spans="1:17">
      <c r="A128" s="87" t="s">
        <v>419</v>
      </c>
      <c r="B128" s="67">
        <f>(SUMIFS('Safeguard facility data'!BB$4:BB$312,'Safeguard facility data'!$A$4:$A$312,$A128,'Safeguard facility data'!BB$4:BB$312,"&gt;0"))-(SUMIFS('Safeguard facility data'!BI$4:BI$312,'Safeguard facility data'!$A$4:$A$312,$A128,'Safeguard facility data'!BI$4:BI$312,"&gt;0"))</f>
        <v>22869</v>
      </c>
      <c r="C128" s="67">
        <f>(SUMIFS('Safeguard facility data'!BC$4:BC$312,'Safeguard facility data'!$A$4:$A$312,$A128,'Safeguard facility data'!BC$4:BC$312,"&gt;0"))-(SUMIFS('Safeguard facility data'!BJ$4:BJ$312,'Safeguard facility data'!$A$4:$A$312,$A128,'Safeguard facility data'!BJ$4:BJ$312,"&gt;0"))</f>
        <v>22683</v>
      </c>
      <c r="D128" s="67">
        <f>(SUMIFS('Safeguard facility data'!BD$4:BD$312,'Safeguard facility data'!$A$4:$A$312,$A128,'Safeguard facility data'!BD$4:BD$312,"&gt;0"))-(SUMIFS('Safeguard facility data'!BK$4:BK$312,'Safeguard facility data'!$A$4:$A$312,$A128,'Safeguard facility data'!BK$4:BK$312,"&gt;0"))</f>
        <v>16551</v>
      </c>
      <c r="E128" s="67">
        <f>(SUMIFS('Safeguard facility data'!BE$4:BE$312,'Safeguard facility data'!$A$4:$A$312,$A128,'Safeguard facility data'!BE$4:BE$312,"&gt;0"))-(SUMIFS('Safeguard facility data'!BL$4:BL$312,'Safeguard facility data'!$A$4:$A$312,$A128,'Safeguard facility data'!BL$4:BL$312,"&gt;0"))</f>
        <v>57081</v>
      </c>
      <c r="F128" s="67">
        <f>(SUMIFS('Safeguard facility data'!BF$4:BF$312,'Safeguard facility data'!$A$4:$A$312,$A128,'Safeguard facility data'!BF$4:BF$312,"&gt;0"))-(SUMIFS('Safeguard facility data'!BM$4:BM$312,'Safeguard facility data'!$A$4:$A$312,$A128,'Safeguard facility data'!BM$4:BM$312,"&gt;0"))</f>
        <v>45172</v>
      </c>
      <c r="G128" s="67"/>
      <c r="H128" s="67"/>
      <c r="I128" s="67"/>
      <c r="J128" s="67"/>
      <c r="K128" s="67"/>
      <c r="L128" s="67"/>
      <c r="M128" s="67"/>
      <c r="N128" s="67"/>
      <c r="O128" s="67"/>
      <c r="P128" s="67"/>
      <c r="Q128" s="67"/>
    </row>
    <row r="129" spans="1:17">
      <c r="A129" s="87" t="s">
        <v>420</v>
      </c>
      <c r="B129" s="67">
        <f>(SUMIFS('Safeguard facility data'!BB$4:BB$312,'Safeguard facility data'!$A$4:$A$312,$A129,'Safeguard facility data'!BB$4:BB$312,"&gt;0"))-(SUMIFS('Safeguard facility data'!BI$4:BI$312,'Safeguard facility data'!$A$4:$A$312,$A129,'Safeguard facility data'!BI$4:BI$312,"&gt;0"))</f>
        <v>822</v>
      </c>
      <c r="C129" s="67">
        <f>(SUMIFS('Safeguard facility data'!BC$4:BC$312,'Safeguard facility data'!$A$4:$A$312,$A129,'Safeguard facility data'!BC$4:BC$312,"&gt;0"))-(SUMIFS('Safeguard facility data'!BJ$4:BJ$312,'Safeguard facility data'!$A$4:$A$312,$A129,'Safeguard facility data'!BJ$4:BJ$312,"&gt;0"))</f>
        <v>927</v>
      </c>
      <c r="D129" s="67">
        <f>(SUMIFS('Safeguard facility data'!BD$4:BD$312,'Safeguard facility data'!$A$4:$A$312,$A129,'Safeguard facility data'!BD$4:BD$312,"&gt;0"))-(SUMIFS('Safeguard facility data'!BK$4:BK$312,'Safeguard facility data'!$A$4:$A$312,$A129,'Safeguard facility data'!BK$4:BK$312,"&gt;0"))</f>
        <v>-1930</v>
      </c>
      <c r="E129" s="67">
        <f>(SUMIFS('Safeguard facility data'!BE$4:BE$312,'Safeguard facility data'!$A$4:$A$312,$A129,'Safeguard facility data'!BE$4:BE$312,"&gt;0"))-(SUMIFS('Safeguard facility data'!BL$4:BL$312,'Safeguard facility data'!$A$4:$A$312,$A129,'Safeguard facility data'!BL$4:BL$312,"&gt;0"))</f>
        <v>-4038</v>
      </c>
      <c r="F129" s="67">
        <f>(SUMIFS('Safeguard facility data'!BF$4:BF$312,'Safeguard facility data'!$A$4:$A$312,$A129,'Safeguard facility data'!BF$4:BF$312,"&gt;0"))-(SUMIFS('Safeguard facility data'!BM$4:BM$312,'Safeguard facility data'!$A$4:$A$312,$A129,'Safeguard facility data'!BM$4:BM$312,"&gt;0"))</f>
        <v>0</v>
      </c>
      <c r="G129" s="67"/>
      <c r="H129" s="67"/>
      <c r="I129" s="67"/>
      <c r="J129" s="67"/>
      <c r="K129" s="67"/>
      <c r="L129" s="67"/>
      <c r="M129" s="67"/>
      <c r="N129" s="67"/>
      <c r="O129" s="67"/>
      <c r="P129" s="67"/>
      <c r="Q129" s="67"/>
    </row>
    <row r="130" spans="1:17">
      <c r="A130" s="87" t="s">
        <v>421</v>
      </c>
      <c r="B130" s="67">
        <f>(SUMIFS('Safeguard facility data'!BB$4:BB$312,'Safeguard facility data'!$A$4:$A$312,$A130,'Safeguard facility data'!BB$4:BB$312,"&gt;0"))-(SUMIFS('Safeguard facility data'!BI$4:BI$312,'Safeguard facility data'!$A$4:$A$312,$A130,'Safeguard facility data'!BI$4:BI$312,"&gt;0"))</f>
        <v>252829</v>
      </c>
      <c r="C130" s="67">
        <f>(SUMIFS('Safeguard facility data'!BC$4:BC$312,'Safeguard facility data'!$A$4:$A$312,$A130,'Safeguard facility data'!BC$4:BC$312,"&gt;0"))-(SUMIFS('Safeguard facility data'!BJ$4:BJ$312,'Safeguard facility data'!$A$4:$A$312,$A130,'Safeguard facility data'!BJ$4:BJ$312,"&gt;0"))</f>
        <v>241862</v>
      </c>
      <c r="D130" s="67">
        <f>(SUMIFS('Safeguard facility data'!BD$4:BD$312,'Safeguard facility data'!$A$4:$A$312,$A130,'Safeguard facility data'!BD$4:BD$312,"&gt;0"))-(SUMIFS('Safeguard facility data'!BK$4:BK$312,'Safeguard facility data'!$A$4:$A$312,$A130,'Safeguard facility data'!BK$4:BK$312,"&gt;0"))</f>
        <v>283226</v>
      </c>
      <c r="E130" s="67">
        <f>(SUMIFS('Safeguard facility data'!BE$4:BE$312,'Safeguard facility data'!$A$4:$A$312,$A130,'Safeguard facility data'!BE$4:BE$312,"&gt;0"))-(SUMIFS('Safeguard facility data'!BL$4:BL$312,'Safeguard facility data'!$A$4:$A$312,$A130,'Safeguard facility data'!BL$4:BL$312,"&gt;0"))</f>
        <v>355084</v>
      </c>
      <c r="F130" s="67">
        <f>(SUMIFS('Safeguard facility data'!BF$4:BF$312,'Safeguard facility data'!$A$4:$A$312,$A130,'Safeguard facility data'!BF$4:BF$312,"&gt;0"))-(SUMIFS('Safeguard facility data'!BM$4:BM$312,'Safeguard facility data'!$A$4:$A$312,$A130,'Safeguard facility data'!BM$4:BM$312,"&gt;0"))</f>
        <v>163908</v>
      </c>
      <c r="G130" s="67"/>
      <c r="H130" s="67"/>
      <c r="I130" s="67"/>
      <c r="J130" s="67"/>
      <c r="K130" s="67"/>
      <c r="L130" s="67"/>
      <c r="M130" s="67"/>
      <c r="N130" s="67"/>
      <c r="O130" s="67"/>
      <c r="P130" s="67"/>
      <c r="Q130" s="67"/>
    </row>
    <row r="131" spans="1:17">
      <c r="A131" s="54" t="s">
        <v>422</v>
      </c>
      <c r="B131" s="67">
        <f>(SUMIFS('Safeguard facility data'!BB$4:BB$312,'Safeguard facility data'!$A$4:$A$312,$A131,'Safeguard facility data'!BB$4:BB$312,"&gt;0"))-(SUMIFS('Safeguard facility data'!BI$4:BI$312,'Safeguard facility data'!$A$4:$A$312,$A131,'Safeguard facility data'!BI$4:BI$312,"&gt;0"))</f>
        <v>44420</v>
      </c>
      <c r="C131" s="67">
        <f>(SUMIFS('Safeguard facility data'!BC$4:BC$312,'Safeguard facility data'!$A$4:$A$312,$A131,'Safeguard facility data'!BC$4:BC$312,"&gt;0"))-(SUMIFS('Safeguard facility data'!BJ$4:BJ$312,'Safeguard facility data'!$A$4:$A$312,$A131,'Safeguard facility data'!BJ$4:BJ$312,"&gt;0"))</f>
        <v>155569</v>
      </c>
      <c r="D131" s="67">
        <f>(SUMIFS('Safeguard facility data'!BD$4:BD$312,'Safeguard facility data'!$A$4:$A$312,$A131,'Safeguard facility data'!BD$4:BD$312,"&gt;0"))-(SUMIFS('Safeguard facility data'!BK$4:BK$312,'Safeguard facility data'!$A$4:$A$312,$A131,'Safeguard facility data'!BK$4:BK$312,"&gt;0"))</f>
        <v>155569</v>
      </c>
      <c r="E131" s="67">
        <f>(SUMIFS('Safeguard facility data'!BE$4:BE$312,'Safeguard facility data'!$A$4:$A$312,$A131,'Safeguard facility data'!BE$4:BE$312,"&gt;0"))-(SUMIFS('Safeguard facility data'!BL$4:BL$312,'Safeguard facility data'!$A$4:$A$312,$A131,'Safeguard facility data'!BL$4:BL$312,"&gt;0"))</f>
        <v>155569</v>
      </c>
      <c r="F131" s="67">
        <f>(SUMIFS('Safeguard facility data'!BF$4:BF$312,'Safeguard facility data'!$A$4:$A$312,$A131,'Safeguard facility data'!BF$4:BF$312,"&gt;0"))-(SUMIFS('Safeguard facility data'!BM$4:BM$312,'Safeguard facility data'!$A$4:$A$312,$A131,'Safeguard facility data'!BM$4:BM$312,"&gt;0"))</f>
        <v>38313</v>
      </c>
      <c r="G131" s="67"/>
      <c r="H131" s="67"/>
      <c r="I131" s="67"/>
      <c r="J131" s="67"/>
      <c r="K131" s="67"/>
      <c r="L131" s="67"/>
      <c r="M131" s="67"/>
      <c r="N131" s="67"/>
      <c r="O131" s="67"/>
      <c r="P131" s="67"/>
      <c r="Q131" s="67"/>
    </row>
    <row r="132" spans="1:17">
      <c r="A132" s="87" t="s">
        <v>423</v>
      </c>
      <c r="B132" s="67">
        <f>(SUMIFS('Safeguard facility data'!BB$4:BB$312,'Safeguard facility data'!$A$4:$A$312,$A132,'Safeguard facility data'!BB$4:BB$312,"&gt;0"))-(SUMIFS('Safeguard facility data'!BI$4:BI$312,'Safeguard facility data'!$A$4:$A$312,$A132,'Safeguard facility data'!BI$4:BI$312,"&gt;0"))</f>
        <v>22897</v>
      </c>
      <c r="C132" s="67">
        <f>(SUMIFS('Safeguard facility data'!BC$4:BC$312,'Safeguard facility data'!$A$4:$A$312,$A132,'Safeguard facility data'!BC$4:BC$312,"&gt;0"))-(SUMIFS('Safeguard facility data'!BJ$4:BJ$312,'Safeguard facility data'!$A$4:$A$312,$A132,'Safeguard facility data'!BJ$4:BJ$312,"&gt;0"))</f>
        <v>-78362</v>
      </c>
      <c r="D132" s="67">
        <f>(SUMIFS('Safeguard facility data'!BD$4:BD$312,'Safeguard facility data'!$A$4:$A$312,$A132,'Safeguard facility data'!BD$4:BD$312,"&gt;0"))-(SUMIFS('Safeguard facility data'!BK$4:BK$312,'Safeguard facility data'!$A$4:$A$312,$A132,'Safeguard facility data'!BK$4:BK$312,"&gt;0"))</f>
        <v>0</v>
      </c>
      <c r="E132" s="67">
        <f>(SUMIFS('Safeguard facility data'!BE$4:BE$312,'Safeguard facility data'!$A$4:$A$312,$A132,'Safeguard facility data'!BE$4:BE$312,"&gt;0"))-(SUMIFS('Safeguard facility data'!BL$4:BL$312,'Safeguard facility data'!$A$4:$A$312,$A132,'Safeguard facility data'!BL$4:BL$312,"&gt;0"))</f>
        <v>110919</v>
      </c>
      <c r="F132" s="67">
        <f>(SUMIFS('Safeguard facility data'!BF$4:BF$312,'Safeguard facility data'!$A$4:$A$312,$A132,'Safeguard facility data'!BF$4:BF$312,"&gt;0"))-(SUMIFS('Safeguard facility data'!BM$4:BM$312,'Safeguard facility data'!$A$4:$A$312,$A132,'Safeguard facility data'!BM$4:BM$312,"&gt;0"))</f>
        <v>262430</v>
      </c>
      <c r="G132" s="67"/>
      <c r="H132" s="67"/>
      <c r="I132" s="67"/>
      <c r="J132" s="67"/>
      <c r="K132" s="67"/>
      <c r="L132" s="67"/>
      <c r="M132" s="67"/>
      <c r="N132" s="67"/>
      <c r="O132" s="67"/>
      <c r="P132" s="67"/>
      <c r="Q132" s="67"/>
    </row>
    <row r="133" spans="1:17">
      <c r="A133" s="87" t="s">
        <v>424</v>
      </c>
      <c r="B133" s="67">
        <f>(SUMIFS('Safeguard facility data'!BB$4:BB$312,'Safeguard facility data'!$A$4:$A$312,$A133,'Safeguard facility data'!BB$4:BB$312,"&gt;0"))-(SUMIFS('Safeguard facility data'!BI$4:BI$312,'Safeguard facility data'!$A$4:$A$312,$A133,'Safeguard facility data'!BI$4:BI$312,"&gt;0"))</f>
        <v>26110</v>
      </c>
      <c r="C133" s="67">
        <f>(SUMIFS('Safeguard facility data'!BC$4:BC$312,'Safeguard facility data'!$A$4:$A$312,$A133,'Safeguard facility data'!BC$4:BC$312,"&gt;0"))-(SUMIFS('Safeguard facility data'!BJ$4:BJ$312,'Safeguard facility data'!$A$4:$A$312,$A133,'Safeguard facility data'!BJ$4:BJ$312,"&gt;0"))</f>
        <v>58273</v>
      </c>
      <c r="D133" s="67">
        <f>(SUMIFS('Safeguard facility data'!BD$4:BD$312,'Safeguard facility data'!$A$4:$A$312,$A133,'Safeguard facility data'!BD$4:BD$312,"&gt;0"))-(SUMIFS('Safeguard facility data'!BK$4:BK$312,'Safeguard facility data'!$A$4:$A$312,$A133,'Safeguard facility data'!BK$4:BK$312,"&gt;0"))</f>
        <v>50980</v>
      </c>
      <c r="E133" s="67">
        <f>(SUMIFS('Safeguard facility data'!BE$4:BE$312,'Safeguard facility data'!$A$4:$A$312,$A133,'Safeguard facility data'!BE$4:BE$312,"&gt;0"))-(SUMIFS('Safeguard facility data'!BL$4:BL$312,'Safeguard facility data'!$A$4:$A$312,$A133,'Safeguard facility data'!BL$4:BL$312,"&gt;0"))</f>
        <v>36848</v>
      </c>
      <c r="F133" s="67">
        <f>(SUMIFS('Safeguard facility data'!BF$4:BF$312,'Safeguard facility data'!$A$4:$A$312,$A133,'Safeguard facility data'!BF$4:BF$312,"&gt;0"))-(SUMIFS('Safeguard facility data'!BM$4:BM$312,'Safeguard facility data'!$A$4:$A$312,$A133,'Safeguard facility data'!BM$4:BM$312,"&gt;0"))</f>
        <v>31167</v>
      </c>
      <c r="G133" s="67"/>
      <c r="H133" s="67"/>
      <c r="I133" s="67"/>
      <c r="J133" s="67"/>
      <c r="K133" s="67"/>
      <c r="L133" s="67"/>
      <c r="M133" s="67"/>
      <c r="N133" s="67"/>
      <c r="O133" s="67"/>
      <c r="P133" s="67"/>
      <c r="Q133" s="67"/>
    </row>
    <row r="134" spans="1:17">
      <c r="A134" s="87" t="s">
        <v>425</v>
      </c>
      <c r="B134" s="67">
        <f>(SUMIFS('Safeguard facility data'!BB$4:BB$312,'Safeguard facility data'!$A$4:$A$312,$A134,'Safeguard facility data'!BB$4:BB$312,"&gt;0"))-(SUMIFS('Safeguard facility data'!BI$4:BI$312,'Safeguard facility data'!$A$4:$A$312,$A134,'Safeguard facility data'!BI$4:BI$312,"&gt;0"))</f>
        <v>15418</v>
      </c>
      <c r="C134" s="67">
        <f>(SUMIFS('Safeguard facility data'!BC$4:BC$312,'Safeguard facility data'!$A$4:$A$312,$A134,'Safeguard facility data'!BC$4:BC$312,"&gt;0"))-(SUMIFS('Safeguard facility data'!BJ$4:BJ$312,'Safeguard facility data'!$A$4:$A$312,$A134,'Safeguard facility data'!BJ$4:BJ$312,"&gt;0"))</f>
        <v>12734</v>
      </c>
      <c r="D134" s="67">
        <f>(SUMIFS('Safeguard facility data'!BD$4:BD$312,'Safeguard facility data'!$A$4:$A$312,$A134,'Safeguard facility data'!BD$4:BD$312,"&gt;0"))-(SUMIFS('Safeguard facility data'!BK$4:BK$312,'Safeguard facility data'!$A$4:$A$312,$A134,'Safeguard facility data'!BK$4:BK$312,"&gt;0"))</f>
        <v>13069</v>
      </c>
      <c r="E134" s="67">
        <f>(SUMIFS('Safeguard facility data'!BE$4:BE$312,'Safeguard facility data'!$A$4:$A$312,$A134,'Safeguard facility data'!BE$4:BE$312,"&gt;0"))-(SUMIFS('Safeguard facility data'!BL$4:BL$312,'Safeguard facility data'!$A$4:$A$312,$A134,'Safeguard facility data'!BL$4:BL$312,"&gt;0"))</f>
        <v>8966</v>
      </c>
      <c r="F134" s="67">
        <f>(SUMIFS('Safeguard facility data'!BF$4:BF$312,'Safeguard facility data'!$A$4:$A$312,$A134,'Safeguard facility data'!BF$4:BF$312,"&gt;0"))-(SUMIFS('Safeguard facility data'!BM$4:BM$312,'Safeguard facility data'!$A$4:$A$312,$A134,'Safeguard facility data'!BM$4:BM$312,"&gt;0"))</f>
        <v>6700</v>
      </c>
      <c r="G134" s="67"/>
      <c r="H134" s="67"/>
      <c r="I134" s="67"/>
      <c r="J134" s="67"/>
      <c r="K134" s="67"/>
      <c r="L134" s="67"/>
      <c r="M134" s="67"/>
      <c r="N134" s="67"/>
      <c r="O134" s="67"/>
      <c r="P134" s="67"/>
      <c r="Q134" s="67"/>
    </row>
    <row r="135" spans="1:17">
      <c r="A135" s="87" t="s">
        <v>426</v>
      </c>
      <c r="B135" s="67">
        <f>(SUMIFS('Safeguard facility data'!BB$4:BB$312,'Safeguard facility data'!$A$4:$A$312,$A135,'Safeguard facility data'!BB$4:BB$312,"&gt;0"))-(SUMIFS('Safeguard facility data'!BI$4:BI$312,'Safeguard facility data'!$A$4:$A$312,$A135,'Safeguard facility data'!BI$4:BI$312,"&gt;0"))</f>
        <v>78714</v>
      </c>
      <c r="C135" s="67">
        <f>(SUMIFS('Safeguard facility data'!BC$4:BC$312,'Safeguard facility data'!$A$4:$A$312,$A135,'Safeguard facility data'!BC$4:BC$312,"&gt;0"))-(SUMIFS('Safeguard facility data'!BJ$4:BJ$312,'Safeguard facility data'!$A$4:$A$312,$A135,'Safeguard facility data'!BJ$4:BJ$312,"&gt;0"))</f>
        <v>11713</v>
      </c>
      <c r="D135" s="67">
        <f>(SUMIFS('Safeguard facility data'!BD$4:BD$312,'Safeguard facility data'!$A$4:$A$312,$A135,'Safeguard facility data'!BD$4:BD$312,"&gt;0"))-(SUMIFS('Safeguard facility data'!BK$4:BK$312,'Safeguard facility data'!$A$4:$A$312,$A135,'Safeguard facility data'!BK$4:BK$312,"&gt;0"))</f>
        <v>27576</v>
      </c>
      <c r="E135" s="67">
        <f>(SUMIFS('Safeguard facility data'!BE$4:BE$312,'Safeguard facility data'!$A$4:$A$312,$A135,'Safeguard facility data'!BE$4:BE$312,"&gt;0"))-(SUMIFS('Safeguard facility data'!BL$4:BL$312,'Safeguard facility data'!$A$4:$A$312,$A135,'Safeguard facility data'!BL$4:BL$312,"&gt;0"))</f>
        <v>76251</v>
      </c>
      <c r="F135" s="67">
        <f>(SUMIFS('Safeguard facility data'!BF$4:BF$312,'Safeguard facility data'!$A$4:$A$312,$A135,'Safeguard facility data'!BF$4:BF$312,"&gt;0"))-(SUMIFS('Safeguard facility data'!BM$4:BM$312,'Safeguard facility data'!$A$4:$A$312,$A135,'Safeguard facility data'!BM$4:BM$312,"&gt;0"))</f>
        <v>325714</v>
      </c>
      <c r="G135" s="67"/>
      <c r="H135" s="67"/>
      <c r="I135" s="67"/>
      <c r="J135" s="67"/>
      <c r="K135" s="67"/>
      <c r="L135" s="67"/>
      <c r="M135" s="67"/>
      <c r="N135" s="67"/>
      <c r="O135" s="67"/>
      <c r="P135" s="67"/>
      <c r="Q135" s="67"/>
    </row>
    <row r="136" spans="1:17">
      <c r="A136" s="87" t="s">
        <v>427</v>
      </c>
      <c r="B136" s="67">
        <f>(SUMIFS('Safeguard facility data'!BB$4:BB$312,'Safeguard facility data'!$A$4:$A$312,$A136,'Safeguard facility data'!BB$4:BB$312,"&gt;0"))-(SUMIFS('Safeguard facility data'!BI$4:BI$312,'Safeguard facility data'!$A$4:$A$312,$A136,'Safeguard facility data'!BI$4:BI$312,"&gt;0"))</f>
        <v>12050</v>
      </c>
      <c r="C136" s="67">
        <f>(SUMIFS('Safeguard facility data'!BC$4:BC$312,'Safeguard facility data'!$A$4:$A$312,$A136,'Safeguard facility data'!BC$4:BC$312,"&gt;0"))-(SUMIFS('Safeguard facility data'!BJ$4:BJ$312,'Safeguard facility data'!$A$4:$A$312,$A136,'Safeguard facility data'!BJ$4:BJ$312,"&gt;0"))</f>
        <v>92470</v>
      </c>
      <c r="D136" s="67">
        <f>(SUMIFS('Safeguard facility data'!BD$4:BD$312,'Safeguard facility data'!$A$4:$A$312,$A136,'Safeguard facility data'!BD$4:BD$312,"&gt;0"))-(SUMIFS('Safeguard facility data'!BK$4:BK$312,'Safeguard facility data'!$A$4:$A$312,$A136,'Safeguard facility data'!BK$4:BK$312,"&gt;0"))</f>
        <v>123190</v>
      </c>
      <c r="E136" s="67">
        <f>(SUMIFS('Safeguard facility data'!BE$4:BE$312,'Safeguard facility data'!$A$4:$A$312,$A136,'Safeguard facility data'!BE$4:BE$312,"&gt;0"))-(SUMIFS('Safeguard facility data'!BL$4:BL$312,'Safeguard facility data'!$A$4:$A$312,$A136,'Safeguard facility data'!BL$4:BL$312,"&gt;0"))</f>
        <v>70318</v>
      </c>
      <c r="F136" s="67">
        <f>(SUMIFS('Safeguard facility data'!BF$4:BF$312,'Safeguard facility data'!$A$4:$A$312,$A136,'Safeguard facility data'!BF$4:BF$312,"&gt;0"))-(SUMIFS('Safeguard facility data'!BM$4:BM$312,'Safeguard facility data'!$A$4:$A$312,$A136,'Safeguard facility data'!BM$4:BM$312,"&gt;0"))</f>
        <v>446</v>
      </c>
      <c r="G136" s="67"/>
      <c r="H136" s="67"/>
      <c r="I136" s="67"/>
      <c r="J136" s="67"/>
      <c r="K136" s="67"/>
      <c r="L136" s="67"/>
      <c r="M136" s="67"/>
      <c r="N136" s="67"/>
      <c r="O136" s="67"/>
      <c r="P136" s="67"/>
      <c r="Q136" s="67"/>
    </row>
    <row r="137" spans="1:17">
      <c r="A137" s="87" t="s">
        <v>428</v>
      </c>
      <c r="B137" s="67">
        <f>(SUMIFS('Safeguard facility data'!BB$4:BB$312,'Safeguard facility data'!$A$4:$A$312,$A137,'Safeguard facility data'!BB$4:BB$312,"&gt;0"))-(SUMIFS('Safeguard facility data'!BI$4:BI$312,'Safeguard facility data'!$A$4:$A$312,$A137,'Safeguard facility data'!BI$4:BI$312,"&gt;0"))</f>
        <v>83871</v>
      </c>
      <c r="C137" s="67">
        <f>(SUMIFS('Safeguard facility data'!BC$4:BC$312,'Safeguard facility data'!$A$4:$A$312,$A137,'Safeguard facility data'!BC$4:BC$312,"&gt;0"))-(SUMIFS('Safeguard facility data'!BJ$4:BJ$312,'Safeguard facility data'!$A$4:$A$312,$A137,'Safeguard facility data'!BJ$4:BJ$312,"&gt;0"))</f>
        <v>31921</v>
      </c>
      <c r="D137" s="67">
        <f>(SUMIFS('Safeguard facility data'!BD$4:BD$312,'Safeguard facility data'!$A$4:$A$312,$A137,'Safeguard facility data'!BD$4:BD$312,"&gt;0"))-(SUMIFS('Safeguard facility data'!BK$4:BK$312,'Safeguard facility data'!$A$4:$A$312,$A137,'Safeguard facility data'!BK$4:BK$312,"&gt;0"))</f>
        <v>77967</v>
      </c>
      <c r="E137" s="67">
        <f>(SUMIFS('Safeguard facility data'!BE$4:BE$312,'Safeguard facility data'!$A$4:$A$312,$A137,'Safeguard facility data'!BE$4:BE$312,"&gt;0"))-(SUMIFS('Safeguard facility data'!BL$4:BL$312,'Safeguard facility data'!$A$4:$A$312,$A137,'Safeguard facility data'!BL$4:BL$312,"&gt;0"))</f>
        <v>96793</v>
      </c>
      <c r="F137" s="67">
        <f>(SUMIFS('Safeguard facility data'!BF$4:BF$312,'Safeguard facility data'!$A$4:$A$312,$A137,'Safeguard facility data'!BF$4:BF$312,"&gt;0"))-(SUMIFS('Safeguard facility data'!BM$4:BM$312,'Safeguard facility data'!$A$4:$A$312,$A137,'Safeguard facility data'!BM$4:BM$312,"&gt;0"))</f>
        <v>65982</v>
      </c>
      <c r="G137" s="67"/>
      <c r="H137" s="67"/>
      <c r="I137" s="67"/>
      <c r="J137" s="67"/>
      <c r="K137" s="67"/>
      <c r="L137" s="67"/>
      <c r="M137" s="67"/>
      <c r="N137" s="67"/>
      <c r="O137" s="67"/>
      <c r="P137" s="67"/>
      <c r="Q137" s="67"/>
    </row>
    <row r="138" spans="1:17">
      <c r="A138" s="87" t="s">
        <v>429</v>
      </c>
      <c r="B138" s="67">
        <f>(SUMIFS('Safeguard facility data'!BB$4:BB$312,'Safeguard facility data'!$A$4:$A$312,$A138,'Safeguard facility data'!BB$4:BB$312,"&gt;0"))-(SUMIFS('Safeguard facility data'!BI$4:BI$312,'Safeguard facility data'!$A$4:$A$312,$A138,'Safeguard facility data'!BI$4:BI$312,"&gt;0"))</f>
        <v>134238</v>
      </c>
      <c r="C138" s="67">
        <f>(SUMIFS('Safeguard facility data'!BC$4:BC$312,'Safeguard facility data'!$A$4:$A$312,$A138,'Safeguard facility data'!BC$4:BC$312,"&gt;0"))-(SUMIFS('Safeguard facility data'!BJ$4:BJ$312,'Safeguard facility data'!$A$4:$A$312,$A138,'Safeguard facility data'!BJ$4:BJ$312,"&gt;0"))</f>
        <v>134238</v>
      </c>
      <c r="D138" s="67">
        <f>(SUMIFS('Safeguard facility data'!BD$4:BD$312,'Safeguard facility data'!$A$4:$A$312,$A138,'Safeguard facility data'!BD$4:BD$312,"&gt;0"))-(SUMIFS('Safeguard facility data'!BK$4:BK$312,'Safeguard facility data'!$A$4:$A$312,$A138,'Safeguard facility data'!BK$4:BK$312,"&gt;0"))</f>
        <v>134238</v>
      </c>
      <c r="E138" s="67">
        <f>(SUMIFS('Safeguard facility data'!BE$4:BE$312,'Safeguard facility data'!$A$4:$A$312,$A138,'Safeguard facility data'!BE$4:BE$312,"&gt;0"))-(SUMIFS('Safeguard facility data'!BL$4:BL$312,'Safeguard facility data'!$A$4:$A$312,$A138,'Safeguard facility data'!BL$4:BL$312,"&gt;0"))</f>
        <v>134238</v>
      </c>
      <c r="F138" s="67">
        <f>(SUMIFS('Safeguard facility data'!BF$4:BF$312,'Safeguard facility data'!$A$4:$A$312,$A138,'Safeguard facility data'!BF$4:BF$312,"&gt;0"))-(SUMIFS('Safeguard facility data'!BM$4:BM$312,'Safeguard facility data'!$A$4:$A$312,$A138,'Safeguard facility data'!BM$4:BM$312,"&gt;0"))</f>
        <v>134238</v>
      </c>
      <c r="G138" s="67"/>
      <c r="H138" s="67"/>
      <c r="I138" s="67"/>
      <c r="J138" s="67"/>
      <c r="K138" s="67"/>
      <c r="L138" s="67"/>
      <c r="M138" s="67"/>
      <c r="N138" s="67"/>
      <c r="O138" s="67"/>
      <c r="P138" s="67"/>
      <c r="Q138" s="67"/>
    </row>
    <row r="139" spans="1:17">
      <c r="A139" s="87" t="s">
        <v>430</v>
      </c>
      <c r="B139" s="67">
        <f>(SUMIFS('Safeguard facility data'!BB$4:BB$312,'Safeguard facility data'!$A$4:$A$312,$A139,'Safeguard facility data'!BB$4:BB$312,"&gt;0"))-(SUMIFS('Safeguard facility data'!BI$4:BI$312,'Safeguard facility data'!$A$4:$A$312,$A139,'Safeguard facility data'!BI$4:BI$312,"&gt;0"))</f>
        <v>0</v>
      </c>
      <c r="C139" s="67">
        <f>(SUMIFS('Safeguard facility data'!BC$4:BC$312,'Safeguard facility data'!$A$4:$A$312,$A139,'Safeguard facility data'!BC$4:BC$312,"&gt;0"))-(SUMIFS('Safeguard facility data'!BJ$4:BJ$312,'Safeguard facility data'!$A$4:$A$312,$A139,'Safeguard facility data'!BJ$4:BJ$312,"&gt;0"))</f>
        <v>0</v>
      </c>
      <c r="D139" s="67">
        <f>(SUMIFS('Safeguard facility data'!BD$4:BD$312,'Safeguard facility data'!$A$4:$A$312,$A139,'Safeguard facility data'!BD$4:BD$312,"&gt;0"))-(SUMIFS('Safeguard facility data'!BK$4:BK$312,'Safeguard facility data'!$A$4:$A$312,$A139,'Safeguard facility data'!BK$4:BK$312,"&gt;0"))</f>
        <v>0</v>
      </c>
      <c r="E139" s="67">
        <f>(SUMIFS('Safeguard facility data'!BE$4:BE$312,'Safeguard facility data'!$A$4:$A$312,$A139,'Safeguard facility data'!BE$4:BE$312,"&gt;0"))-(SUMIFS('Safeguard facility data'!BL$4:BL$312,'Safeguard facility data'!$A$4:$A$312,$A139,'Safeguard facility data'!BL$4:BL$312,"&gt;0"))</f>
        <v>0</v>
      </c>
      <c r="F139" s="67">
        <f>(SUMIFS('Safeguard facility data'!BF$4:BF$312,'Safeguard facility data'!$A$4:$A$312,$A139,'Safeguard facility data'!BF$4:BF$312,"&gt;0"))-(SUMIFS('Safeguard facility data'!BM$4:BM$312,'Safeguard facility data'!$A$4:$A$312,$A139,'Safeguard facility data'!BM$4:BM$312,"&gt;0"))</f>
        <v>116852</v>
      </c>
      <c r="G139" s="67"/>
      <c r="H139" s="67"/>
      <c r="I139" s="67"/>
      <c r="J139" s="67"/>
      <c r="K139" s="67"/>
      <c r="L139" s="67"/>
      <c r="M139" s="67"/>
      <c r="N139" s="67"/>
      <c r="O139" s="67"/>
      <c r="P139" s="67"/>
      <c r="Q139" s="67"/>
    </row>
    <row r="140" spans="1:17">
      <c r="A140" s="54" t="s">
        <v>431</v>
      </c>
      <c r="B140" s="67">
        <f>(SUMIFS('Safeguard facility data'!BB$4:BB$312,'Safeguard facility data'!$A$4:$A$312,$A140,'Safeguard facility data'!BB$4:BB$312,"&gt;0"))-(SUMIFS('Safeguard facility data'!BI$4:BI$312,'Safeguard facility data'!$A$4:$A$312,$A140,'Safeguard facility data'!BI$4:BI$312,"&gt;0"))</f>
        <v>0</v>
      </c>
      <c r="C140" s="67">
        <f>(SUMIFS('Safeguard facility data'!BC$4:BC$312,'Safeguard facility data'!$A$4:$A$312,$A140,'Safeguard facility data'!BC$4:BC$312,"&gt;0"))-(SUMIFS('Safeguard facility data'!BJ$4:BJ$312,'Safeguard facility data'!$A$4:$A$312,$A140,'Safeguard facility data'!BJ$4:BJ$312,"&gt;0"))</f>
        <v>-110712</v>
      </c>
      <c r="D140" s="67">
        <f>(SUMIFS('Safeguard facility data'!BD$4:BD$312,'Safeguard facility data'!$A$4:$A$312,$A140,'Safeguard facility data'!BD$4:BD$312,"&gt;0"))-(SUMIFS('Safeguard facility data'!BK$4:BK$312,'Safeguard facility data'!$A$4:$A$312,$A140,'Safeguard facility data'!BK$4:BK$312,"&gt;0"))</f>
        <v>12856</v>
      </c>
      <c r="E140" s="67">
        <f>(SUMIFS('Safeguard facility data'!BE$4:BE$312,'Safeguard facility data'!$A$4:$A$312,$A140,'Safeguard facility data'!BE$4:BE$312,"&gt;0"))-(SUMIFS('Safeguard facility data'!BL$4:BL$312,'Safeguard facility data'!$A$4:$A$312,$A140,'Safeguard facility data'!BL$4:BL$312,"&gt;0"))</f>
        <v>126431</v>
      </c>
      <c r="F140" s="67">
        <f>(SUMIFS('Safeguard facility data'!BF$4:BF$312,'Safeguard facility data'!$A$4:$A$312,$A140,'Safeguard facility data'!BF$4:BF$312,"&gt;0"))-(SUMIFS('Safeguard facility data'!BM$4:BM$312,'Safeguard facility data'!$A$4:$A$312,$A140,'Safeguard facility data'!BM$4:BM$312,"&gt;0"))</f>
        <v>13204</v>
      </c>
      <c r="G140" s="67"/>
      <c r="H140" s="67"/>
      <c r="I140" s="67"/>
      <c r="J140" s="67"/>
      <c r="K140" s="67"/>
      <c r="L140" s="67"/>
      <c r="M140" s="67"/>
      <c r="N140" s="67"/>
      <c r="O140" s="67"/>
      <c r="P140" s="67"/>
      <c r="Q140" s="67"/>
    </row>
    <row r="141" spans="1:17">
      <c r="A141" s="87" t="s">
        <v>432</v>
      </c>
      <c r="B141" s="67">
        <f>(SUMIFS('Safeguard facility data'!BB$4:BB$312,'Safeguard facility data'!$A$4:$A$312,$A141,'Safeguard facility data'!BB$4:BB$312,"&gt;0"))-(SUMIFS('Safeguard facility data'!BI$4:BI$312,'Safeguard facility data'!$A$4:$A$312,$A141,'Safeguard facility data'!BI$4:BI$312,"&gt;0"))</f>
        <v>135585</v>
      </c>
      <c r="C141" s="67">
        <f>(SUMIFS('Safeguard facility data'!BC$4:BC$312,'Safeguard facility data'!$A$4:$A$312,$A141,'Safeguard facility data'!BC$4:BC$312,"&gt;0"))-(SUMIFS('Safeguard facility data'!BJ$4:BJ$312,'Safeguard facility data'!$A$4:$A$312,$A141,'Safeguard facility data'!BJ$4:BJ$312,"&gt;0"))</f>
        <v>78596</v>
      </c>
      <c r="D141" s="67">
        <f>(SUMIFS('Safeguard facility data'!BD$4:BD$312,'Safeguard facility data'!$A$4:$A$312,$A141,'Safeguard facility data'!BD$4:BD$312,"&gt;0"))-(SUMIFS('Safeguard facility data'!BK$4:BK$312,'Safeguard facility data'!$A$4:$A$312,$A141,'Safeguard facility data'!BK$4:BK$312,"&gt;0"))</f>
        <v>70363</v>
      </c>
      <c r="E141" s="67">
        <f>(SUMIFS('Safeguard facility data'!BE$4:BE$312,'Safeguard facility data'!$A$4:$A$312,$A141,'Safeguard facility data'!BE$4:BE$312,"&gt;0"))-(SUMIFS('Safeguard facility data'!BL$4:BL$312,'Safeguard facility data'!$A$4:$A$312,$A141,'Safeguard facility data'!BL$4:BL$312,"&gt;0"))</f>
        <v>374963</v>
      </c>
      <c r="F141" s="67">
        <f>(SUMIFS('Safeguard facility data'!BF$4:BF$312,'Safeguard facility data'!$A$4:$A$312,$A141,'Safeguard facility data'!BF$4:BF$312,"&gt;0"))-(SUMIFS('Safeguard facility data'!BM$4:BM$312,'Safeguard facility data'!$A$4:$A$312,$A141,'Safeguard facility data'!BM$4:BM$312,"&gt;0"))</f>
        <v>344502</v>
      </c>
      <c r="G141" s="67"/>
      <c r="H141" s="67"/>
      <c r="I141" s="67"/>
      <c r="J141" s="67"/>
      <c r="K141" s="67"/>
      <c r="L141" s="67"/>
      <c r="M141" s="67"/>
      <c r="N141" s="67"/>
      <c r="O141" s="67"/>
      <c r="P141" s="67"/>
      <c r="Q141" s="67"/>
    </row>
    <row r="142" spans="1:17">
      <c r="A142" s="87" t="s">
        <v>433</v>
      </c>
      <c r="B142" s="67">
        <f>(SUMIFS('Safeguard facility data'!BB$4:BB$312,'Safeguard facility data'!$A$4:$A$312,$A142,'Safeguard facility data'!BB$4:BB$312,"&gt;0"))-(SUMIFS('Safeguard facility data'!BI$4:BI$312,'Safeguard facility data'!$A$4:$A$312,$A142,'Safeguard facility data'!BI$4:BI$312,"&gt;0"))</f>
        <v>0</v>
      </c>
      <c r="C142" s="67">
        <f>(SUMIFS('Safeguard facility data'!BC$4:BC$312,'Safeguard facility data'!$A$4:$A$312,$A142,'Safeguard facility data'!BC$4:BC$312,"&gt;0"))-(SUMIFS('Safeguard facility data'!BJ$4:BJ$312,'Safeguard facility data'!$A$4:$A$312,$A142,'Safeguard facility data'!BJ$4:BJ$312,"&gt;0"))</f>
        <v>100</v>
      </c>
      <c r="D142" s="67">
        <f>(SUMIFS('Safeguard facility data'!BD$4:BD$312,'Safeguard facility data'!$A$4:$A$312,$A142,'Safeguard facility data'!BD$4:BD$312,"&gt;0"))-(SUMIFS('Safeguard facility data'!BK$4:BK$312,'Safeguard facility data'!$A$4:$A$312,$A142,'Safeguard facility data'!BK$4:BK$312,"&gt;0"))</f>
        <v>126431</v>
      </c>
      <c r="E142" s="67">
        <f>(SUMIFS('Safeguard facility data'!BE$4:BE$312,'Safeguard facility data'!$A$4:$A$312,$A142,'Safeguard facility data'!BE$4:BE$312,"&gt;0"))-(SUMIFS('Safeguard facility data'!BL$4:BL$312,'Safeguard facility data'!$A$4:$A$312,$A142,'Safeguard facility data'!BL$4:BL$312,"&gt;0"))</f>
        <v>17419</v>
      </c>
      <c r="F142" s="67">
        <f>(SUMIFS('Safeguard facility data'!BF$4:BF$312,'Safeguard facility data'!$A$4:$A$312,$A142,'Safeguard facility data'!BF$4:BF$312,"&gt;0"))-(SUMIFS('Safeguard facility data'!BM$4:BM$312,'Safeguard facility data'!$A$4:$A$312,$A142,'Safeguard facility data'!BM$4:BM$312,"&gt;0"))</f>
        <v>126431</v>
      </c>
      <c r="G142" s="67"/>
      <c r="H142" s="67"/>
      <c r="I142" s="67"/>
      <c r="J142" s="67"/>
      <c r="K142" s="67"/>
      <c r="L142" s="67"/>
      <c r="M142" s="67"/>
      <c r="N142" s="67"/>
      <c r="O142" s="67"/>
      <c r="P142" s="67"/>
      <c r="Q142" s="67"/>
    </row>
    <row r="143" spans="1:17">
      <c r="A143" s="87" t="s">
        <v>434</v>
      </c>
      <c r="B143" s="67">
        <f>(SUMIFS('Safeguard facility data'!BB$4:BB$312,'Safeguard facility data'!$A$4:$A$312,$A143,'Safeguard facility data'!BB$4:BB$312,"&gt;0"))-(SUMIFS('Safeguard facility data'!BI$4:BI$312,'Safeguard facility data'!$A$4:$A$312,$A143,'Safeguard facility data'!BI$4:BI$312,"&gt;0"))</f>
        <v>283703</v>
      </c>
      <c r="C143" s="67">
        <f>(SUMIFS('Safeguard facility data'!BC$4:BC$312,'Safeguard facility data'!$A$4:$A$312,$A143,'Safeguard facility data'!BC$4:BC$312,"&gt;0"))-(SUMIFS('Safeguard facility data'!BJ$4:BJ$312,'Safeguard facility data'!$A$4:$A$312,$A143,'Safeguard facility data'!BJ$4:BJ$312,"&gt;0"))</f>
        <v>285099</v>
      </c>
      <c r="D143" s="67">
        <f>(SUMIFS('Safeguard facility data'!BD$4:BD$312,'Safeguard facility data'!$A$4:$A$312,$A143,'Safeguard facility data'!BD$4:BD$312,"&gt;0"))-(SUMIFS('Safeguard facility data'!BK$4:BK$312,'Safeguard facility data'!$A$4:$A$312,$A143,'Safeguard facility data'!BK$4:BK$312,"&gt;0"))</f>
        <v>270209</v>
      </c>
      <c r="E143" s="67">
        <f>(SUMIFS('Safeguard facility data'!BE$4:BE$312,'Safeguard facility data'!$A$4:$A$312,$A143,'Safeguard facility data'!BE$4:BE$312,"&gt;0"))-(SUMIFS('Safeguard facility data'!BL$4:BL$312,'Safeguard facility data'!$A$4:$A$312,$A143,'Safeguard facility data'!BL$4:BL$312,"&gt;0"))</f>
        <v>281637</v>
      </c>
      <c r="F143" s="67">
        <f>(SUMIFS('Safeguard facility data'!BF$4:BF$312,'Safeguard facility data'!$A$4:$A$312,$A143,'Safeguard facility data'!BF$4:BF$312,"&gt;0"))-(SUMIFS('Safeguard facility data'!BM$4:BM$312,'Safeguard facility data'!$A$4:$A$312,$A143,'Safeguard facility data'!BM$4:BM$312,"&gt;0"))</f>
        <v>8287</v>
      </c>
      <c r="G143" s="67"/>
      <c r="H143" s="67"/>
      <c r="I143" s="67"/>
      <c r="J143" s="67"/>
      <c r="K143" s="67"/>
      <c r="L143" s="67"/>
      <c r="M143" s="67"/>
      <c r="N143" s="67"/>
      <c r="O143" s="67"/>
      <c r="P143" s="67"/>
      <c r="Q143" s="67"/>
    </row>
    <row r="144" spans="1:17">
      <c r="A144" s="87" t="s">
        <v>435</v>
      </c>
      <c r="B144" s="67">
        <f>(SUMIFS('Safeguard facility data'!BB$4:BB$312,'Safeguard facility data'!$A$4:$A$312,$A144,'Safeguard facility data'!BB$4:BB$312,"&gt;0"))-(SUMIFS('Safeguard facility data'!BI$4:BI$312,'Safeguard facility data'!$A$4:$A$312,$A144,'Safeguard facility data'!BI$4:BI$312,"&gt;0"))</f>
        <v>0</v>
      </c>
      <c r="C144" s="67">
        <f>(SUMIFS('Safeguard facility data'!BC$4:BC$312,'Safeguard facility data'!$A$4:$A$312,$A144,'Safeguard facility data'!BC$4:BC$312,"&gt;0"))-(SUMIFS('Safeguard facility data'!BJ$4:BJ$312,'Safeguard facility data'!$A$4:$A$312,$A144,'Safeguard facility data'!BJ$4:BJ$312,"&gt;0"))</f>
        <v>-2843</v>
      </c>
      <c r="D144" s="67">
        <f>(SUMIFS('Safeguard facility data'!BD$4:BD$312,'Safeguard facility data'!$A$4:$A$312,$A144,'Safeguard facility data'!BD$4:BD$312,"&gt;0"))-(SUMIFS('Safeguard facility data'!BK$4:BK$312,'Safeguard facility data'!$A$4:$A$312,$A144,'Safeguard facility data'!BK$4:BK$312,"&gt;0"))</f>
        <v>3699</v>
      </c>
      <c r="E144" s="67">
        <f>(SUMIFS('Safeguard facility data'!BE$4:BE$312,'Safeguard facility data'!$A$4:$A$312,$A144,'Safeguard facility data'!BE$4:BE$312,"&gt;0"))-(SUMIFS('Safeguard facility data'!BL$4:BL$312,'Safeguard facility data'!$A$4:$A$312,$A144,'Safeguard facility data'!BL$4:BL$312,"&gt;0"))</f>
        <v>8206</v>
      </c>
      <c r="F144" s="67">
        <f>(SUMIFS('Safeguard facility data'!BF$4:BF$312,'Safeguard facility data'!$A$4:$A$312,$A144,'Safeguard facility data'!BF$4:BF$312,"&gt;0"))-(SUMIFS('Safeguard facility data'!BM$4:BM$312,'Safeguard facility data'!$A$4:$A$312,$A144,'Safeguard facility data'!BM$4:BM$312,"&gt;0"))</f>
        <v>0</v>
      </c>
      <c r="G144" s="67"/>
      <c r="H144" s="67"/>
      <c r="I144" s="67"/>
      <c r="J144" s="67"/>
      <c r="K144" s="67"/>
      <c r="L144" s="67"/>
      <c r="M144" s="67"/>
      <c r="N144" s="67"/>
      <c r="O144" s="67"/>
      <c r="P144" s="67"/>
      <c r="Q144" s="67"/>
    </row>
    <row r="145" spans="1:17">
      <c r="A145" s="87" t="s">
        <v>436</v>
      </c>
      <c r="B145" s="67">
        <f>(SUMIFS('Safeguard facility data'!BB$4:BB$312,'Safeguard facility data'!$A$4:$A$312,$A145,'Safeguard facility data'!BB$4:BB$312,"&gt;0"))-(SUMIFS('Safeguard facility data'!BI$4:BI$312,'Safeguard facility data'!$A$4:$A$312,$A145,'Safeguard facility data'!BI$4:BI$312,"&gt;0"))</f>
        <v>0</v>
      </c>
      <c r="C145" s="67">
        <f>(SUMIFS('Safeguard facility data'!BC$4:BC$312,'Safeguard facility data'!$A$4:$A$312,$A145,'Safeguard facility data'!BC$4:BC$312,"&gt;0"))-(SUMIFS('Safeguard facility data'!BJ$4:BJ$312,'Safeguard facility data'!$A$4:$A$312,$A145,'Safeguard facility data'!BJ$4:BJ$312,"&gt;0"))</f>
        <v>147307</v>
      </c>
      <c r="D145" s="67">
        <f>(SUMIFS('Safeguard facility data'!BD$4:BD$312,'Safeguard facility data'!$A$4:$A$312,$A145,'Safeguard facility data'!BD$4:BD$312,"&gt;0"))-(SUMIFS('Safeguard facility data'!BK$4:BK$312,'Safeguard facility data'!$A$4:$A$312,$A145,'Safeguard facility data'!BK$4:BK$312,"&gt;0"))</f>
        <v>715526</v>
      </c>
      <c r="E145" s="67">
        <f>(SUMIFS('Safeguard facility data'!BE$4:BE$312,'Safeguard facility data'!$A$4:$A$312,$A145,'Safeguard facility data'!BE$4:BE$312,"&gt;0"))-(SUMIFS('Safeguard facility data'!BL$4:BL$312,'Safeguard facility data'!$A$4:$A$312,$A145,'Safeguard facility data'!BL$4:BL$312,"&gt;0"))</f>
        <v>852783</v>
      </c>
      <c r="F145" s="67">
        <f>(SUMIFS('Safeguard facility data'!BF$4:BF$312,'Safeguard facility data'!$A$4:$A$312,$A145,'Safeguard facility data'!BF$4:BF$312,"&gt;0"))-(SUMIFS('Safeguard facility data'!BM$4:BM$312,'Safeguard facility data'!$A$4:$A$312,$A145,'Safeguard facility data'!BM$4:BM$312,"&gt;0"))</f>
        <v>259142</v>
      </c>
      <c r="G145" s="67"/>
      <c r="H145" s="67"/>
      <c r="I145" s="67"/>
      <c r="J145" s="67"/>
      <c r="K145" s="67"/>
      <c r="L145" s="67"/>
      <c r="M145" s="67"/>
      <c r="N145" s="67"/>
      <c r="O145" s="67"/>
      <c r="P145" s="67"/>
      <c r="Q145" s="67"/>
    </row>
    <row r="146" spans="1:17">
      <c r="A146" s="87" t="s">
        <v>437</v>
      </c>
      <c r="B146" s="67">
        <f>(SUMIFS('Safeguard facility data'!BB$4:BB$312,'Safeguard facility data'!$A$4:$A$312,$A146,'Safeguard facility data'!BB$4:BB$312,"&gt;0"))-(SUMIFS('Safeguard facility data'!BI$4:BI$312,'Safeguard facility data'!$A$4:$A$312,$A146,'Safeguard facility data'!BI$4:BI$312,"&gt;0"))</f>
        <v>158055</v>
      </c>
      <c r="C146" s="67">
        <f>(SUMIFS('Safeguard facility data'!BC$4:BC$312,'Safeguard facility data'!$A$4:$A$312,$A146,'Safeguard facility data'!BC$4:BC$312,"&gt;0"))-(SUMIFS('Safeguard facility data'!BJ$4:BJ$312,'Safeguard facility data'!$A$4:$A$312,$A146,'Safeguard facility data'!BJ$4:BJ$312,"&gt;0"))</f>
        <v>274856</v>
      </c>
      <c r="D146" s="67">
        <f>(SUMIFS('Safeguard facility data'!BD$4:BD$312,'Safeguard facility data'!$A$4:$A$312,$A146,'Safeguard facility data'!BD$4:BD$312,"&gt;0"))-(SUMIFS('Safeguard facility data'!BK$4:BK$312,'Safeguard facility data'!$A$4:$A$312,$A146,'Safeguard facility data'!BK$4:BK$312,"&gt;0"))</f>
        <v>155434</v>
      </c>
      <c r="E146" s="67">
        <f>(SUMIFS('Safeguard facility data'!BE$4:BE$312,'Safeguard facility data'!$A$4:$A$312,$A146,'Safeguard facility data'!BE$4:BE$312,"&gt;0"))-(SUMIFS('Safeguard facility data'!BL$4:BL$312,'Safeguard facility data'!$A$4:$A$312,$A146,'Safeguard facility data'!BL$4:BL$312,"&gt;0"))</f>
        <v>151421</v>
      </c>
      <c r="F146" s="67">
        <f>(SUMIFS('Safeguard facility data'!BF$4:BF$312,'Safeguard facility data'!$A$4:$A$312,$A146,'Safeguard facility data'!BF$4:BF$312,"&gt;0"))-(SUMIFS('Safeguard facility data'!BM$4:BM$312,'Safeguard facility data'!$A$4:$A$312,$A146,'Safeguard facility data'!BM$4:BM$312,"&gt;0"))</f>
        <v>122507</v>
      </c>
      <c r="G146" s="67"/>
      <c r="H146" s="67"/>
      <c r="I146" s="67"/>
      <c r="J146" s="67"/>
      <c r="K146" s="67"/>
      <c r="L146" s="67"/>
      <c r="M146" s="67"/>
      <c r="N146" s="67"/>
      <c r="O146" s="67"/>
      <c r="P146" s="67"/>
      <c r="Q146" s="67"/>
    </row>
    <row r="147" spans="1:17">
      <c r="A147" s="87" t="s">
        <v>438</v>
      </c>
      <c r="B147" s="67">
        <f>(SUMIFS('Safeguard facility data'!BB$4:BB$312,'Safeguard facility data'!$A$4:$A$312,$A147,'Safeguard facility data'!BB$4:BB$312,"&gt;0"))-(SUMIFS('Safeguard facility data'!BI$4:BI$312,'Safeguard facility data'!$A$4:$A$312,$A147,'Safeguard facility data'!BI$4:BI$312,"&gt;0"))</f>
        <v>82105</v>
      </c>
      <c r="C147" s="67">
        <f>(SUMIFS('Safeguard facility data'!BC$4:BC$312,'Safeguard facility data'!$A$4:$A$312,$A147,'Safeguard facility data'!BC$4:BC$312,"&gt;0"))-(SUMIFS('Safeguard facility data'!BJ$4:BJ$312,'Safeguard facility data'!$A$4:$A$312,$A147,'Safeguard facility data'!BJ$4:BJ$312,"&gt;0"))</f>
        <v>210243</v>
      </c>
      <c r="D147" s="67">
        <f>(SUMIFS('Safeguard facility data'!BD$4:BD$312,'Safeguard facility data'!$A$4:$A$312,$A147,'Safeguard facility data'!BD$4:BD$312,"&gt;0"))-(SUMIFS('Safeguard facility data'!BK$4:BK$312,'Safeguard facility data'!$A$4:$A$312,$A147,'Safeguard facility data'!BK$4:BK$312,"&gt;0"))</f>
        <v>210243</v>
      </c>
      <c r="E147" s="67">
        <f>(SUMIFS('Safeguard facility data'!BE$4:BE$312,'Safeguard facility data'!$A$4:$A$312,$A147,'Safeguard facility data'!BE$4:BE$312,"&gt;0"))-(SUMIFS('Safeguard facility data'!BL$4:BL$312,'Safeguard facility data'!$A$4:$A$312,$A147,'Safeguard facility data'!BL$4:BL$312,"&gt;0"))</f>
        <v>210243</v>
      </c>
      <c r="F147" s="67">
        <f>(SUMIFS('Safeguard facility data'!BF$4:BF$312,'Safeguard facility data'!$A$4:$A$312,$A147,'Safeguard facility data'!BF$4:BF$312,"&gt;0"))-(SUMIFS('Safeguard facility data'!BM$4:BM$312,'Safeguard facility data'!$A$4:$A$312,$A147,'Safeguard facility data'!BM$4:BM$312,"&gt;0"))</f>
        <v>210243</v>
      </c>
      <c r="G147" s="67"/>
      <c r="H147" s="67"/>
      <c r="I147" s="67"/>
      <c r="J147" s="67"/>
      <c r="K147" s="67"/>
      <c r="L147" s="67"/>
      <c r="M147" s="67"/>
      <c r="N147" s="67"/>
      <c r="O147" s="67"/>
      <c r="P147" s="67"/>
      <c r="Q147" s="67"/>
    </row>
    <row r="148" spans="1:17">
      <c r="A148" s="87" t="s">
        <v>439</v>
      </c>
      <c r="B148" s="67">
        <f>(SUMIFS('Safeguard facility data'!BB$4:BB$312,'Safeguard facility data'!$A$4:$A$312,$A148,'Safeguard facility data'!BB$4:BB$312,"&gt;0"))-(SUMIFS('Safeguard facility data'!BI$4:BI$312,'Safeguard facility data'!$A$4:$A$312,$A148,'Safeguard facility data'!BI$4:BI$312,"&gt;0"))</f>
        <v>22605</v>
      </c>
      <c r="C148" s="67">
        <f>(SUMIFS('Safeguard facility data'!BC$4:BC$312,'Safeguard facility data'!$A$4:$A$312,$A148,'Safeguard facility data'!BC$4:BC$312,"&gt;0"))-(SUMIFS('Safeguard facility data'!BJ$4:BJ$312,'Safeguard facility data'!$A$4:$A$312,$A148,'Safeguard facility data'!BJ$4:BJ$312,"&gt;0"))</f>
        <v>30007</v>
      </c>
      <c r="D148" s="67">
        <f>(SUMIFS('Safeguard facility data'!BD$4:BD$312,'Safeguard facility data'!$A$4:$A$312,$A148,'Safeguard facility data'!BD$4:BD$312,"&gt;0"))-(SUMIFS('Safeguard facility data'!BK$4:BK$312,'Safeguard facility data'!$A$4:$A$312,$A148,'Safeguard facility data'!BK$4:BK$312,"&gt;0"))</f>
        <v>13353</v>
      </c>
      <c r="E148" s="67">
        <f>(SUMIFS('Safeguard facility data'!BE$4:BE$312,'Safeguard facility data'!$A$4:$A$312,$A148,'Safeguard facility data'!BE$4:BE$312,"&gt;0"))-(SUMIFS('Safeguard facility data'!BL$4:BL$312,'Safeguard facility data'!$A$4:$A$312,$A148,'Safeguard facility data'!BL$4:BL$312,"&gt;0"))</f>
        <v>17491</v>
      </c>
      <c r="F148" s="67">
        <f>(SUMIFS('Safeguard facility data'!BF$4:BF$312,'Safeguard facility data'!$A$4:$A$312,$A148,'Safeguard facility data'!BF$4:BF$312,"&gt;0"))-(SUMIFS('Safeguard facility data'!BM$4:BM$312,'Safeguard facility data'!$A$4:$A$312,$A148,'Safeguard facility data'!BM$4:BM$312,"&gt;0"))</f>
        <v>44687</v>
      </c>
      <c r="G148" s="67"/>
      <c r="H148" s="67"/>
      <c r="I148" s="67"/>
      <c r="J148" s="67"/>
      <c r="K148" s="67"/>
      <c r="L148" s="67"/>
      <c r="M148" s="67"/>
      <c r="N148" s="67"/>
      <c r="O148" s="67"/>
      <c r="P148" s="67"/>
      <c r="Q148" s="67"/>
    </row>
    <row r="149" spans="1:17">
      <c r="A149" s="87" t="s">
        <v>440</v>
      </c>
      <c r="B149" s="67">
        <f>(SUMIFS('Safeguard facility data'!BB$4:BB$312,'Safeguard facility data'!$A$4:$A$312,$A149,'Safeguard facility data'!BB$4:BB$312,"&gt;0"))-(SUMIFS('Safeguard facility data'!BI$4:BI$312,'Safeguard facility data'!$A$4:$A$312,$A149,'Safeguard facility data'!BI$4:BI$312,"&gt;0"))</f>
        <v>223068</v>
      </c>
      <c r="C149" s="67">
        <f>(SUMIFS('Safeguard facility data'!BC$4:BC$312,'Safeguard facility data'!$A$4:$A$312,$A149,'Safeguard facility data'!BC$4:BC$312,"&gt;0"))-(SUMIFS('Safeguard facility data'!BJ$4:BJ$312,'Safeguard facility data'!$A$4:$A$312,$A149,'Safeguard facility data'!BJ$4:BJ$312,"&gt;0"))</f>
        <v>102832</v>
      </c>
      <c r="D149" s="67">
        <f>(SUMIFS('Safeguard facility data'!BD$4:BD$312,'Safeguard facility data'!$A$4:$A$312,$A149,'Safeguard facility data'!BD$4:BD$312,"&gt;0"))-(SUMIFS('Safeguard facility data'!BK$4:BK$312,'Safeguard facility data'!$A$4:$A$312,$A149,'Safeguard facility data'!BK$4:BK$312,"&gt;0"))</f>
        <v>47835</v>
      </c>
      <c r="E149" s="67">
        <f>(SUMIFS('Safeguard facility data'!BE$4:BE$312,'Safeguard facility data'!$A$4:$A$312,$A149,'Safeguard facility data'!BE$4:BE$312,"&gt;0"))-(SUMIFS('Safeguard facility data'!BL$4:BL$312,'Safeguard facility data'!$A$4:$A$312,$A149,'Safeguard facility data'!BL$4:BL$312,"&gt;0"))</f>
        <v>89913</v>
      </c>
      <c r="F149" s="67">
        <f>(SUMIFS('Safeguard facility data'!BF$4:BF$312,'Safeguard facility data'!$A$4:$A$312,$A149,'Safeguard facility data'!BF$4:BF$312,"&gt;0"))-(SUMIFS('Safeguard facility data'!BM$4:BM$312,'Safeguard facility data'!$A$4:$A$312,$A149,'Safeguard facility data'!BM$4:BM$312,"&gt;0"))</f>
        <v>62888</v>
      </c>
      <c r="G149" s="67"/>
      <c r="H149" s="67"/>
      <c r="I149" s="67"/>
      <c r="J149" s="67"/>
      <c r="K149" s="67"/>
      <c r="L149" s="67"/>
      <c r="M149" s="67"/>
      <c r="N149" s="67"/>
      <c r="O149" s="67"/>
      <c r="P149" s="67"/>
      <c r="Q149" s="67"/>
    </row>
    <row r="150" spans="1:17">
      <c r="A150" s="87" t="s">
        <v>441</v>
      </c>
      <c r="B150" s="67">
        <f>(SUMIFS('Safeguard facility data'!BB$4:BB$312,'Safeguard facility data'!$A$4:$A$312,$A150,'Safeguard facility data'!BB$4:BB$312,"&gt;0"))-(SUMIFS('Safeguard facility data'!BI$4:BI$312,'Safeguard facility data'!$A$4:$A$312,$A150,'Safeguard facility data'!BI$4:BI$312,"&gt;0"))</f>
        <v>0</v>
      </c>
      <c r="C150" s="67">
        <f>(SUMIFS('Safeguard facility data'!BC$4:BC$312,'Safeguard facility data'!$A$4:$A$312,$A150,'Safeguard facility data'!BC$4:BC$312,"&gt;0"))-(SUMIFS('Safeguard facility data'!BJ$4:BJ$312,'Safeguard facility data'!$A$4:$A$312,$A150,'Safeguard facility data'!BJ$4:BJ$312,"&gt;0"))</f>
        <v>0</v>
      </c>
      <c r="D150" s="67">
        <f>(SUMIFS('Safeguard facility data'!BD$4:BD$312,'Safeguard facility data'!$A$4:$A$312,$A150,'Safeguard facility data'!BD$4:BD$312,"&gt;0"))-(SUMIFS('Safeguard facility data'!BK$4:BK$312,'Safeguard facility data'!$A$4:$A$312,$A150,'Safeguard facility data'!BK$4:BK$312,"&gt;0"))</f>
        <v>0</v>
      </c>
      <c r="E150" s="67">
        <f>(SUMIFS('Safeguard facility data'!BE$4:BE$312,'Safeguard facility data'!$A$4:$A$312,$A150,'Safeguard facility data'!BE$4:BE$312,"&gt;0"))-(SUMIFS('Safeguard facility data'!BL$4:BL$312,'Safeguard facility data'!$A$4:$A$312,$A150,'Safeguard facility data'!BL$4:BL$312,"&gt;0"))</f>
        <v>14324</v>
      </c>
      <c r="F150" s="67">
        <f>(SUMIFS('Safeguard facility data'!BF$4:BF$312,'Safeguard facility data'!$A$4:$A$312,$A150,'Safeguard facility data'!BF$4:BF$312,"&gt;0"))-(SUMIFS('Safeguard facility data'!BM$4:BM$312,'Safeguard facility data'!$A$4:$A$312,$A150,'Safeguard facility data'!BM$4:BM$312,"&gt;0"))</f>
        <v>11718</v>
      </c>
      <c r="G150" s="67"/>
      <c r="H150" s="67"/>
      <c r="I150" s="67"/>
      <c r="J150" s="67"/>
      <c r="K150" s="67"/>
      <c r="L150" s="67"/>
      <c r="M150" s="67"/>
      <c r="N150" s="67"/>
      <c r="O150" s="67"/>
      <c r="P150" s="67"/>
      <c r="Q150" s="67"/>
    </row>
    <row r="151" spans="1:17">
      <c r="A151" s="87" t="s">
        <v>442</v>
      </c>
      <c r="B151" s="67">
        <f>(SUMIFS('Safeguard facility data'!BB$4:BB$312,'Safeguard facility data'!$A$4:$A$312,$A151,'Safeguard facility data'!BB$4:BB$312,"&gt;0"))-(SUMIFS('Safeguard facility data'!BI$4:BI$312,'Safeguard facility data'!$A$4:$A$312,$A151,'Safeguard facility data'!BI$4:BI$312,"&gt;0"))</f>
        <v>187033</v>
      </c>
      <c r="C151" s="67">
        <f>(SUMIFS('Safeguard facility data'!BC$4:BC$312,'Safeguard facility data'!$A$4:$A$312,$A151,'Safeguard facility data'!BC$4:BC$312,"&gt;0"))-(SUMIFS('Safeguard facility data'!BJ$4:BJ$312,'Safeguard facility data'!$A$4:$A$312,$A151,'Safeguard facility data'!BJ$4:BJ$312,"&gt;0"))</f>
        <v>187033</v>
      </c>
      <c r="D151" s="67">
        <f>(SUMIFS('Safeguard facility data'!BD$4:BD$312,'Safeguard facility data'!$A$4:$A$312,$A151,'Safeguard facility data'!BD$4:BD$312,"&gt;0"))-(SUMIFS('Safeguard facility data'!BK$4:BK$312,'Safeguard facility data'!$A$4:$A$312,$A151,'Safeguard facility data'!BK$4:BK$312,"&gt;0"))</f>
        <v>86950</v>
      </c>
      <c r="E151" s="67">
        <f>(SUMIFS('Safeguard facility data'!BE$4:BE$312,'Safeguard facility data'!$A$4:$A$312,$A151,'Safeguard facility data'!BE$4:BE$312,"&gt;0"))-(SUMIFS('Safeguard facility data'!BL$4:BL$312,'Safeguard facility data'!$A$4:$A$312,$A151,'Safeguard facility data'!BL$4:BL$312,"&gt;0"))</f>
        <v>187033</v>
      </c>
      <c r="F151" s="67">
        <f>(SUMIFS('Safeguard facility data'!BF$4:BF$312,'Safeguard facility data'!$A$4:$A$312,$A151,'Safeguard facility data'!BF$4:BF$312,"&gt;0"))-(SUMIFS('Safeguard facility data'!BM$4:BM$312,'Safeguard facility data'!$A$4:$A$312,$A151,'Safeguard facility data'!BM$4:BM$312,"&gt;0"))</f>
        <v>187033</v>
      </c>
      <c r="G151" s="67"/>
      <c r="H151" s="67"/>
      <c r="I151" s="67"/>
      <c r="J151" s="67"/>
      <c r="K151" s="67"/>
      <c r="L151" s="67"/>
      <c r="M151" s="67"/>
      <c r="N151" s="67"/>
      <c r="O151" s="67"/>
      <c r="P151" s="67"/>
      <c r="Q151" s="67"/>
    </row>
    <row r="152" spans="1:17">
      <c r="A152" s="87" t="s">
        <v>443</v>
      </c>
      <c r="B152" s="67">
        <f>(SUMIFS('Safeguard facility data'!BB$4:BB$312,'Safeguard facility data'!$A$4:$A$312,$A152,'Safeguard facility data'!BB$4:BB$312,"&gt;0"))-(SUMIFS('Safeguard facility data'!BI$4:BI$312,'Safeguard facility data'!$A$4:$A$312,$A152,'Safeguard facility data'!BI$4:BI$312,"&gt;0"))</f>
        <v>0</v>
      </c>
      <c r="C152" s="67">
        <f>(SUMIFS('Safeguard facility data'!BC$4:BC$312,'Safeguard facility data'!$A$4:$A$312,$A152,'Safeguard facility data'!BC$4:BC$312,"&gt;0"))-(SUMIFS('Safeguard facility data'!BJ$4:BJ$312,'Safeguard facility data'!$A$4:$A$312,$A152,'Safeguard facility data'!BJ$4:BJ$312,"&gt;0"))</f>
        <v>0</v>
      </c>
      <c r="D152" s="67">
        <f>(SUMIFS('Safeguard facility data'!BD$4:BD$312,'Safeguard facility data'!$A$4:$A$312,$A152,'Safeguard facility data'!BD$4:BD$312,"&gt;0"))-(SUMIFS('Safeguard facility data'!BK$4:BK$312,'Safeguard facility data'!$A$4:$A$312,$A152,'Safeguard facility data'!BK$4:BK$312,"&gt;0"))</f>
        <v>0</v>
      </c>
      <c r="E152" s="67">
        <f>(SUMIFS('Safeguard facility data'!BE$4:BE$312,'Safeguard facility data'!$A$4:$A$312,$A152,'Safeguard facility data'!BE$4:BE$312,"&gt;0"))-(SUMIFS('Safeguard facility data'!BL$4:BL$312,'Safeguard facility data'!$A$4:$A$312,$A152,'Safeguard facility data'!BL$4:BL$312,"&gt;0"))</f>
        <v>0</v>
      </c>
      <c r="F152" s="67">
        <f>(SUMIFS('Safeguard facility data'!BF$4:BF$312,'Safeguard facility data'!$A$4:$A$312,$A152,'Safeguard facility data'!BF$4:BF$312,"&gt;0"))-(SUMIFS('Safeguard facility data'!BM$4:BM$312,'Safeguard facility data'!$A$4:$A$312,$A152,'Safeguard facility data'!BM$4:BM$312,"&gt;0"))</f>
        <v>-14654</v>
      </c>
      <c r="G152" s="67"/>
      <c r="H152" s="67"/>
      <c r="I152" s="67"/>
      <c r="J152" s="67"/>
      <c r="K152" s="67"/>
      <c r="L152" s="67"/>
      <c r="M152" s="67"/>
      <c r="N152" s="67"/>
      <c r="O152" s="67"/>
      <c r="P152" s="67"/>
      <c r="Q152" s="67"/>
    </row>
    <row r="153" spans="1:17">
      <c r="A153" s="87" t="s">
        <v>444</v>
      </c>
      <c r="B153" s="67">
        <f>(SUMIFS('Safeguard facility data'!BB$4:BB$312,'Safeguard facility data'!$A$4:$A$312,$A153,'Safeguard facility data'!BB$4:BB$312,"&gt;0"))-(SUMIFS('Safeguard facility data'!BI$4:BI$312,'Safeguard facility data'!$A$4:$A$312,$A153,'Safeguard facility data'!BI$4:BI$312,"&gt;0"))</f>
        <v>235736</v>
      </c>
      <c r="C153" s="67">
        <f>(SUMIFS('Safeguard facility data'!BC$4:BC$312,'Safeguard facility data'!$A$4:$A$312,$A153,'Safeguard facility data'!BC$4:BC$312,"&gt;0"))-(SUMIFS('Safeguard facility data'!BJ$4:BJ$312,'Safeguard facility data'!$A$4:$A$312,$A153,'Safeguard facility data'!BJ$4:BJ$312,"&gt;0"))</f>
        <v>237953</v>
      </c>
      <c r="D153" s="67">
        <f>(SUMIFS('Safeguard facility data'!BD$4:BD$312,'Safeguard facility data'!$A$4:$A$312,$A153,'Safeguard facility data'!BD$4:BD$312,"&gt;0"))-(SUMIFS('Safeguard facility data'!BK$4:BK$312,'Safeguard facility data'!$A$4:$A$312,$A153,'Safeguard facility data'!BK$4:BK$312,"&gt;0"))</f>
        <v>32073</v>
      </c>
      <c r="E153" s="67">
        <f>(SUMIFS('Safeguard facility data'!BE$4:BE$312,'Safeguard facility data'!$A$4:$A$312,$A153,'Safeguard facility data'!BE$4:BE$312,"&gt;0"))-(SUMIFS('Safeguard facility data'!BL$4:BL$312,'Safeguard facility data'!$A$4:$A$312,$A153,'Safeguard facility data'!BL$4:BL$312,"&gt;0"))</f>
        <v>97279</v>
      </c>
      <c r="F153" s="67">
        <f>(SUMIFS('Safeguard facility data'!BF$4:BF$312,'Safeguard facility data'!$A$4:$A$312,$A153,'Safeguard facility data'!BF$4:BF$312,"&gt;0"))-(SUMIFS('Safeguard facility data'!BM$4:BM$312,'Safeguard facility data'!$A$4:$A$312,$A153,'Safeguard facility data'!BM$4:BM$312,"&gt;0"))</f>
        <v>262359</v>
      </c>
      <c r="G153" s="67"/>
      <c r="H153" s="67"/>
      <c r="I153" s="67"/>
      <c r="J153" s="67"/>
      <c r="K153" s="67"/>
      <c r="L153" s="67"/>
      <c r="M153" s="67"/>
      <c r="N153" s="67"/>
      <c r="O153" s="67"/>
      <c r="P153" s="67"/>
      <c r="Q153" s="67"/>
    </row>
    <row r="154" spans="1:17">
      <c r="A154" s="87" t="s">
        <v>445</v>
      </c>
      <c r="B154" s="67">
        <f>(SUMIFS('Safeguard facility data'!BB$4:BB$312,'Safeguard facility data'!$A$4:$A$312,$A154,'Safeguard facility data'!BB$4:BB$312,"&gt;0"))-(SUMIFS('Safeguard facility data'!BI$4:BI$312,'Safeguard facility data'!$A$4:$A$312,$A154,'Safeguard facility data'!BI$4:BI$312,"&gt;0"))</f>
        <v>-22822</v>
      </c>
      <c r="C154" s="67">
        <f>(SUMIFS('Safeguard facility data'!BC$4:BC$312,'Safeguard facility data'!$A$4:$A$312,$A154,'Safeguard facility data'!BC$4:BC$312,"&gt;0"))-(SUMIFS('Safeguard facility data'!BJ$4:BJ$312,'Safeguard facility data'!$A$4:$A$312,$A154,'Safeguard facility data'!BJ$4:BJ$312,"&gt;0"))</f>
        <v>13601</v>
      </c>
      <c r="D154" s="67">
        <f>(SUMIFS('Safeguard facility data'!BD$4:BD$312,'Safeguard facility data'!$A$4:$A$312,$A154,'Safeguard facility data'!BD$4:BD$312,"&gt;0"))-(SUMIFS('Safeguard facility data'!BK$4:BK$312,'Safeguard facility data'!$A$4:$A$312,$A154,'Safeguard facility data'!BK$4:BK$312,"&gt;0"))</f>
        <v>30936</v>
      </c>
      <c r="E154" s="67">
        <f>(SUMIFS('Safeguard facility data'!BE$4:BE$312,'Safeguard facility data'!$A$4:$A$312,$A154,'Safeguard facility data'!BE$4:BE$312,"&gt;0"))-(SUMIFS('Safeguard facility data'!BL$4:BL$312,'Safeguard facility data'!$A$4:$A$312,$A154,'Safeguard facility data'!BL$4:BL$312,"&gt;0"))</f>
        <v>71874</v>
      </c>
      <c r="F154" s="67">
        <f>(SUMIFS('Safeguard facility data'!BF$4:BF$312,'Safeguard facility data'!$A$4:$A$312,$A154,'Safeguard facility data'!BF$4:BF$312,"&gt;0"))-(SUMIFS('Safeguard facility data'!BM$4:BM$312,'Safeguard facility data'!$A$4:$A$312,$A154,'Safeguard facility data'!BM$4:BM$312,"&gt;0"))</f>
        <v>12868</v>
      </c>
      <c r="G154" s="67"/>
      <c r="H154" s="67"/>
      <c r="I154" s="67"/>
      <c r="J154" s="67"/>
      <c r="K154" s="67"/>
      <c r="L154" s="67"/>
      <c r="M154" s="67"/>
      <c r="N154" s="67"/>
      <c r="O154" s="67"/>
      <c r="P154" s="67"/>
      <c r="Q154" s="67"/>
    </row>
    <row r="155" spans="1:17">
      <c r="A155" s="87" t="s">
        <v>446</v>
      </c>
      <c r="B155" s="67">
        <f>(SUMIFS('Safeguard facility data'!BB$4:BB$312,'Safeguard facility data'!$A$4:$A$312,$A155,'Safeguard facility data'!BB$4:BB$312,"&gt;0"))-(SUMIFS('Safeguard facility data'!BI$4:BI$312,'Safeguard facility data'!$A$4:$A$312,$A155,'Safeguard facility data'!BI$4:BI$312,"&gt;0"))</f>
        <v>26731</v>
      </c>
      <c r="C155" s="67">
        <f>(SUMIFS('Safeguard facility data'!BC$4:BC$312,'Safeguard facility data'!$A$4:$A$312,$A155,'Safeguard facility data'!BC$4:BC$312,"&gt;0"))-(SUMIFS('Safeguard facility data'!BJ$4:BJ$312,'Safeguard facility data'!$A$4:$A$312,$A155,'Safeguard facility data'!BJ$4:BJ$312,"&gt;0"))</f>
        <v>35524</v>
      </c>
      <c r="D155" s="67">
        <f>(SUMIFS('Safeguard facility data'!BD$4:BD$312,'Safeguard facility data'!$A$4:$A$312,$A155,'Safeguard facility data'!BD$4:BD$312,"&gt;0"))-(SUMIFS('Safeguard facility data'!BK$4:BK$312,'Safeguard facility data'!$A$4:$A$312,$A155,'Safeguard facility data'!BK$4:BK$312,"&gt;0"))</f>
        <v>207453</v>
      </c>
      <c r="E155" s="67">
        <f>(SUMIFS('Safeguard facility data'!BE$4:BE$312,'Safeguard facility data'!$A$4:$A$312,$A155,'Safeguard facility data'!BE$4:BE$312,"&gt;0"))-(SUMIFS('Safeguard facility data'!BL$4:BL$312,'Safeguard facility data'!$A$4:$A$312,$A155,'Safeguard facility data'!BL$4:BL$312,"&gt;0"))</f>
        <v>207453</v>
      </c>
      <c r="F155" s="67">
        <f>(SUMIFS('Safeguard facility data'!BF$4:BF$312,'Safeguard facility data'!$A$4:$A$312,$A155,'Safeguard facility data'!BF$4:BF$312,"&gt;0"))-(SUMIFS('Safeguard facility data'!BM$4:BM$312,'Safeguard facility data'!$A$4:$A$312,$A155,'Safeguard facility data'!BM$4:BM$312,"&gt;0"))</f>
        <v>207453</v>
      </c>
      <c r="G155" s="67"/>
      <c r="H155" s="67"/>
      <c r="I155" s="67"/>
      <c r="J155" s="67"/>
      <c r="K155" s="67"/>
      <c r="L155" s="67"/>
      <c r="M155" s="67"/>
      <c r="N155" s="67"/>
      <c r="O155" s="67"/>
      <c r="P155" s="67"/>
      <c r="Q155" s="67"/>
    </row>
    <row r="156" spans="1:17">
      <c r="A156" s="87" t="s">
        <v>447</v>
      </c>
      <c r="B156" s="67">
        <f>(SUMIFS('Safeguard facility data'!BB$4:BB$312,'Safeguard facility data'!$A$4:$A$312,$A156,'Safeguard facility data'!BB$4:BB$312,"&gt;0"))-(SUMIFS('Safeguard facility data'!BI$4:BI$312,'Safeguard facility data'!$A$4:$A$312,$A156,'Safeguard facility data'!BI$4:BI$312,"&gt;0"))</f>
        <v>14590</v>
      </c>
      <c r="C156" s="67">
        <f>(SUMIFS('Safeguard facility data'!BC$4:BC$312,'Safeguard facility data'!$A$4:$A$312,$A156,'Safeguard facility data'!BC$4:BC$312,"&gt;0"))-(SUMIFS('Safeguard facility data'!BJ$4:BJ$312,'Safeguard facility data'!$A$4:$A$312,$A156,'Safeguard facility data'!BJ$4:BJ$312,"&gt;0"))</f>
        <v>7737</v>
      </c>
      <c r="D156" s="67">
        <f>(SUMIFS('Safeguard facility data'!BD$4:BD$312,'Safeguard facility data'!$A$4:$A$312,$A156,'Safeguard facility data'!BD$4:BD$312,"&gt;0"))-(SUMIFS('Safeguard facility data'!BK$4:BK$312,'Safeguard facility data'!$A$4:$A$312,$A156,'Safeguard facility data'!BK$4:BK$312,"&gt;0"))</f>
        <v>8638</v>
      </c>
      <c r="E156" s="67">
        <f>(SUMIFS('Safeguard facility data'!BE$4:BE$312,'Safeguard facility data'!$A$4:$A$312,$A156,'Safeguard facility data'!BE$4:BE$312,"&gt;0"))-(SUMIFS('Safeguard facility data'!BL$4:BL$312,'Safeguard facility data'!$A$4:$A$312,$A156,'Safeguard facility data'!BL$4:BL$312,"&gt;0"))</f>
        <v>8365</v>
      </c>
      <c r="F156" s="67">
        <f>(SUMIFS('Safeguard facility data'!BF$4:BF$312,'Safeguard facility data'!$A$4:$A$312,$A156,'Safeguard facility data'!BF$4:BF$312,"&gt;0"))-(SUMIFS('Safeguard facility data'!BM$4:BM$312,'Safeguard facility data'!$A$4:$A$312,$A156,'Safeguard facility data'!BM$4:BM$312,"&gt;0"))</f>
        <v>118369</v>
      </c>
      <c r="G156" s="67"/>
      <c r="H156" s="67"/>
      <c r="I156" s="67"/>
      <c r="J156" s="67"/>
      <c r="K156" s="67"/>
      <c r="L156" s="67"/>
      <c r="M156" s="67"/>
      <c r="N156" s="67"/>
      <c r="O156" s="67"/>
      <c r="P156" s="67"/>
      <c r="Q156" s="67"/>
    </row>
    <row r="157" spans="1:17">
      <c r="A157" s="87" t="s">
        <v>448</v>
      </c>
      <c r="B157" s="67">
        <f>(SUMIFS('Safeguard facility data'!BB$4:BB$312,'Safeguard facility data'!$A$4:$A$312,$A157,'Safeguard facility data'!BB$4:BB$312,"&gt;0"))-(SUMIFS('Safeguard facility data'!BI$4:BI$312,'Safeguard facility data'!$A$4:$A$312,$A157,'Safeguard facility data'!BI$4:BI$312,"&gt;0"))</f>
        <v>85933</v>
      </c>
      <c r="C157" s="67">
        <f>(SUMIFS('Safeguard facility data'!BC$4:BC$312,'Safeguard facility data'!$A$4:$A$312,$A157,'Safeguard facility data'!BC$4:BC$312,"&gt;0"))-(SUMIFS('Safeguard facility data'!BJ$4:BJ$312,'Safeguard facility data'!$A$4:$A$312,$A157,'Safeguard facility data'!BJ$4:BJ$312,"&gt;0"))</f>
        <v>75754</v>
      </c>
      <c r="D157" s="67">
        <f>(SUMIFS('Safeguard facility data'!BD$4:BD$312,'Safeguard facility data'!$A$4:$A$312,$A157,'Safeguard facility data'!BD$4:BD$312,"&gt;0"))-(SUMIFS('Safeguard facility data'!BK$4:BK$312,'Safeguard facility data'!$A$4:$A$312,$A157,'Safeguard facility data'!BK$4:BK$312,"&gt;0"))</f>
        <v>74808</v>
      </c>
      <c r="E157" s="67">
        <f>(SUMIFS('Safeguard facility data'!BE$4:BE$312,'Safeguard facility data'!$A$4:$A$312,$A157,'Safeguard facility data'!BE$4:BE$312,"&gt;0"))-(SUMIFS('Safeguard facility data'!BL$4:BL$312,'Safeguard facility data'!$A$4:$A$312,$A157,'Safeguard facility data'!BL$4:BL$312,"&gt;0"))</f>
        <v>211463</v>
      </c>
      <c r="F157" s="67">
        <f>(SUMIFS('Safeguard facility data'!BF$4:BF$312,'Safeguard facility data'!$A$4:$A$312,$A157,'Safeguard facility data'!BF$4:BF$312,"&gt;0"))-(SUMIFS('Safeguard facility data'!BM$4:BM$312,'Safeguard facility data'!$A$4:$A$312,$A157,'Safeguard facility data'!BM$4:BM$312,"&gt;0"))</f>
        <v>133276</v>
      </c>
      <c r="G157" s="67"/>
      <c r="H157" s="67"/>
      <c r="I157" s="67"/>
      <c r="J157" s="67"/>
      <c r="K157" s="67"/>
      <c r="L157" s="67"/>
      <c r="M157" s="67"/>
      <c r="N157" s="67"/>
      <c r="O157" s="67"/>
      <c r="P157" s="67"/>
      <c r="Q157" s="67"/>
    </row>
    <row r="158" spans="1:17">
      <c r="A158" s="87" t="s">
        <v>449</v>
      </c>
      <c r="B158" s="67">
        <f>(SUMIFS('Safeguard facility data'!BB$4:BB$312,'Safeguard facility data'!$A$4:$A$312,$A158,'Safeguard facility data'!BB$4:BB$312,"&gt;0"))-(SUMIFS('Safeguard facility data'!BI$4:BI$312,'Safeguard facility data'!$A$4:$A$312,$A158,'Safeguard facility data'!BI$4:BI$312,"&gt;0"))</f>
        <v>22835</v>
      </c>
      <c r="C158" s="67">
        <f>(SUMIFS('Safeguard facility data'!BC$4:BC$312,'Safeguard facility data'!$A$4:$A$312,$A158,'Safeguard facility data'!BC$4:BC$312,"&gt;0"))-(SUMIFS('Safeguard facility data'!BJ$4:BJ$312,'Safeguard facility data'!$A$4:$A$312,$A158,'Safeguard facility data'!BJ$4:BJ$312,"&gt;0"))</f>
        <v>65449</v>
      </c>
      <c r="D158" s="67">
        <f>(SUMIFS('Safeguard facility data'!BD$4:BD$312,'Safeguard facility data'!$A$4:$A$312,$A158,'Safeguard facility data'!BD$4:BD$312,"&gt;0"))-(SUMIFS('Safeguard facility data'!BK$4:BK$312,'Safeguard facility data'!$A$4:$A$312,$A158,'Safeguard facility data'!BK$4:BK$312,"&gt;0"))</f>
        <v>18981</v>
      </c>
      <c r="E158" s="67">
        <f>(SUMIFS('Safeguard facility data'!BE$4:BE$312,'Safeguard facility data'!$A$4:$A$312,$A158,'Safeguard facility data'!BE$4:BE$312,"&gt;0"))-(SUMIFS('Safeguard facility data'!BL$4:BL$312,'Safeguard facility data'!$A$4:$A$312,$A158,'Safeguard facility data'!BL$4:BL$312,"&gt;0"))</f>
        <v>95491</v>
      </c>
      <c r="F158" s="67">
        <f>(SUMIFS('Safeguard facility data'!BF$4:BF$312,'Safeguard facility data'!$A$4:$A$312,$A158,'Safeguard facility data'!BF$4:BF$312,"&gt;0"))-(SUMIFS('Safeguard facility data'!BM$4:BM$312,'Safeguard facility data'!$A$4:$A$312,$A158,'Safeguard facility data'!BM$4:BM$312,"&gt;0"))</f>
        <v>84641</v>
      </c>
      <c r="G158" s="67"/>
      <c r="H158" s="67"/>
      <c r="I158" s="67"/>
      <c r="J158" s="67"/>
      <c r="K158" s="67"/>
      <c r="L158" s="67"/>
      <c r="M158" s="67"/>
      <c r="N158" s="67"/>
      <c r="O158" s="67"/>
      <c r="P158" s="67"/>
      <c r="Q158" s="67"/>
    </row>
    <row r="159" spans="1:17">
      <c r="A159" s="87" t="s">
        <v>450</v>
      </c>
      <c r="B159" s="67">
        <f>(SUMIFS('Safeguard facility data'!BB$4:BB$312,'Safeguard facility data'!$A$4:$A$312,$A159,'Safeguard facility data'!BB$4:BB$312,"&gt;0"))-(SUMIFS('Safeguard facility data'!BI$4:BI$312,'Safeguard facility data'!$A$4:$A$312,$A159,'Safeguard facility data'!BI$4:BI$312,"&gt;0"))</f>
        <v>298126</v>
      </c>
      <c r="C159" s="67">
        <f>(SUMIFS('Safeguard facility data'!BC$4:BC$312,'Safeguard facility data'!$A$4:$A$312,$A159,'Safeguard facility data'!BC$4:BC$312,"&gt;0"))-(SUMIFS('Safeguard facility data'!BJ$4:BJ$312,'Safeguard facility data'!$A$4:$A$312,$A159,'Safeguard facility data'!BJ$4:BJ$312,"&gt;0"))</f>
        <v>316952</v>
      </c>
      <c r="D159" s="67">
        <f>(SUMIFS('Safeguard facility data'!BD$4:BD$312,'Safeguard facility data'!$A$4:$A$312,$A159,'Safeguard facility data'!BD$4:BD$312,"&gt;0"))-(SUMIFS('Safeguard facility data'!BK$4:BK$312,'Safeguard facility data'!$A$4:$A$312,$A159,'Safeguard facility data'!BK$4:BK$312,"&gt;0"))</f>
        <v>319220</v>
      </c>
      <c r="E159" s="67">
        <f>(SUMIFS('Safeguard facility data'!BE$4:BE$312,'Safeguard facility data'!$A$4:$A$312,$A159,'Safeguard facility data'!BE$4:BE$312,"&gt;0"))-(SUMIFS('Safeguard facility data'!BL$4:BL$312,'Safeguard facility data'!$A$4:$A$312,$A159,'Safeguard facility data'!BL$4:BL$312,"&gt;0"))</f>
        <v>307115</v>
      </c>
      <c r="F159" s="67">
        <f>(SUMIFS('Safeguard facility data'!BF$4:BF$312,'Safeguard facility data'!$A$4:$A$312,$A159,'Safeguard facility data'!BF$4:BF$312,"&gt;0"))-(SUMIFS('Safeguard facility data'!BM$4:BM$312,'Safeguard facility data'!$A$4:$A$312,$A159,'Safeguard facility data'!BM$4:BM$312,"&gt;0"))</f>
        <v>196825</v>
      </c>
      <c r="G159" s="67"/>
      <c r="H159" s="67"/>
      <c r="I159" s="67"/>
      <c r="J159" s="67"/>
      <c r="K159" s="67"/>
      <c r="L159" s="67"/>
      <c r="M159" s="67"/>
      <c r="N159" s="67"/>
      <c r="O159" s="67"/>
      <c r="P159" s="67"/>
      <c r="Q159" s="67"/>
    </row>
    <row r="160" spans="1:17">
      <c r="A160" s="87" t="s">
        <v>451</v>
      </c>
      <c r="B160" s="67">
        <f>(SUMIFS('Safeguard facility data'!BB$4:BB$312,'Safeguard facility data'!$A$4:$A$312,$A160,'Safeguard facility data'!BB$4:BB$312,"&gt;0"))-(SUMIFS('Safeguard facility data'!BI$4:BI$312,'Safeguard facility data'!$A$4:$A$312,$A160,'Safeguard facility data'!BI$4:BI$312,"&gt;0"))</f>
        <v>98276</v>
      </c>
      <c r="C160" s="67">
        <f>(SUMIFS('Safeguard facility data'!BC$4:BC$312,'Safeguard facility data'!$A$4:$A$312,$A160,'Safeguard facility data'!BC$4:BC$312,"&gt;0"))-(SUMIFS('Safeguard facility data'!BJ$4:BJ$312,'Safeguard facility data'!$A$4:$A$312,$A160,'Safeguard facility data'!BJ$4:BJ$312,"&gt;0"))</f>
        <v>283291</v>
      </c>
      <c r="D160" s="67">
        <f>(SUMIFS('Safeguard facility data'!BD$4:BD$312,'Safeguard facility data'!$A$4:$A$312,$A160,'Safeguard facility data'!BD$4:BD$312,"&gt;0"))-(SUMIFS('Safeguard facility data'!BK$4:BK$312,'Safeguard facility data'!$A$4:$A$312,$A160,'Safeguard facility data'!BK$4:BK$312,"&gt;0"))</f>
        <v>211943</v>
      </c>
      <c r="E160" s="67">
        <f>(SUMIFS('Safeguard facility data'!BE$4:BE$312,'Safeguard facility data'!$A$4:$A$312,$A160,'Safeguard facility data'!BE$4:BE$312,"&gt;0"))-(SUMIFS('Safeguard facility data'!BL$4:BL$312,'Safeguard facility data'!$A$4:$A$312,$A160,'Safeguard facility data'!BL$4:BL$312,"&gt;0"))</f>
        <v>226461</v>
      </c>
      <c r="F160" s="67">
        <f>(SUMIFS('Safeguard facility data'!BF$4:BF$312,'Safeguard facility data'!$A$4:$A$312,$A160,'Safeguard facility data'!BF$4:BF$312,"&gt;0"))-(SUMIFS('Safeguard facility data'!BM$4:BM$312,'Safeguard facility data'!$A$4:$A$312,$A160,'Safeguard facility data'!BM$4:BM$312,"&gt;0"))</f>
        <v>129049</v>
      </c>
      <c r="G160" s="67"/>
      <c r="H160" s="67"/>
      <c r="I160" s="67"/>
      <c r="J160" s="67"/>
      <c r="K160" s="67"/>
      <c r="L160" s="67"/>
      <c r="M160" s="67"/>
      <c r="N160" s="67"/>
      <c r="O160" s="67"/>
      <c r="P160" s="67"/>
      <c r="Q160" s="67"/>
    </row>
    <row r="161" spans="1:17">
      <c r="A161" s="87" t="s">
        <v>452</v>
      </c>
      <c r="B161" s="67">
        <f>(SUMIFS('Safeguard facility data'!BB$4:BB$312,'Safeguard facility data'!$A$4:$A$312,$A161,'Safeguard facility data'!BB$4:BB$312,"&gt;0"))-(SUMIFS('Safeguard facility data'!BI$4:BI$312,'Safeguard facility data'!$A$4:$A$312,$A161,'Safeguard facility data'!BI$4:BI$312,"&gt;0"))</f>
        <v>105869</v>
      </c>
      <c r="C161" s="67">
        <f>(SUMIFS('Safeguard facility data'!BC$4:BC$312,'Safeguard facility data'!$A$4:$A$312,$A161,'Safeguard facility data'!BC$4:BC$312,"&gt;0"))-(SUMIFS('Safeguard facility data'!BJ$4:BJ$312,'Safeguard facility data'!$A$4:$A$312,$A161,'Safeguard facility data'!BJ$4:BJ$312,"&gt;0"))</f>
        <v>105869</v>
      </c>
      <c r="D161" s="67">
        <f>(SUMIFS('Safeguard facility data'!BD$4:BD$312,'Safeguard facility data'!$A$4:$A$312,$A161,'Safeguard facility data'!BD$4:BD$312,"&gt;0"))-(SUMIFS('Safeguard facility data'!BK$4:BK$312,'Safeguard facility data'!$A$4:$A$312,$A161,'Safeguard facility data'!BK$4:BK$312,"&gt;0"))</f>
        <v>105869</v>
      </c>
      <c r="E161" s="67">
        <f>(SUMIFS('Safeguard facility data'!BE$4:BE$312,'Safeguard facility data'!$A$4:$A$312,$A161,'Safeguard facility data'!BE$4:BE$312,"&gt;0"))-(SUMIFS('Safeguard facility data'!BL$4:BL$312,'Safeguard facility data'!$A$4:$A$312,$A161,'Safeguard facility data'!BL$4:BL$312,"&gt;0"))</f>
        <v>105869</v>
      </c>
      <c r="F161" s="67">
        <f>(SUMIFS('Safeguard facility data'!BF$4:BF$312,'Safeguard facility data'!$A$4:$A$312,$A161,'Safeguard facility data'!BF$4:BF$312,"&gt;0"))-(SUMIFS('Safeguard facility data'!BM$4:BM$312,'Safeguard facility data'!$A$4:$A$312,$A161,'Safeguard facility data'!BM$4:BM$312,"&gt;0"))</f>
        <v>105869</v>
      </c>
      <c r="G161" s="67"/>
      <c r="H161" s="67"/>
      <c r="I161" s="67"/>
      <c r="J161" s="67"/>
      <c r="K161" s="67"/>
      <c r="L161" s="67"/>
      <c r="M161" s="67"/>
      <c r="N161" s="67"/>
      <c r="O161" s="67"/>
      <c r="P161" s="67"/>
      <c r="Q161" s="67"/>
    </row>
    <row r="162" spans="1:17">
      <c r="A162" s="87" t="s">
        <v>453</v>
      </c>
      <c r="B162" s="67">
        <f>(SUMIFS('Safeguard facility data'!BB$4:BB$312,'Safeguard facility data'!$A$4:$A$312,$A162,'Safeguard facility data'!BB$4:BB$312,"&gt;0"))-(SUMIFS('Safeguard facility data'!BI$4:BI$312,'Safeguard facility data'!$A$4:$A$312,$A162,'Safeguard facility data'!BI$4:BI$312,"&gt;0"))</f>
        <v>59781</v>
      </c>
      <c r="C162" s="67">
        <f>(SUMIFS('Safeguard facility data'!BC$4:BC$312,'Safeguard facility data'!$A$4:$A$312,$A162,'Safeguard facility data'!BC$4:BC$312,"&gt;0"))-(SUMIFS('Safeguard facility data'!BJ$4:BJ$312,'Safeguard facility data'!$A$4:$A$312,$A162,'Safeguard facility data'!BJ$4:BJ$312,"&gt;0"))</f>
        <v>-6703</v>
      </c>
      <c r="D162" s="67">
        <f>(SUMIFS('Safeguard facility data'!BD$4:BD$312,'Safeguard facility data'!$A$4:$A$312,$A162,'Safeguard facility data'!BD$4:BD$312,"&gt;0"))-(SUMIFS('Safeguard facility data'!BK$4:BK$312,'Safeguard facility data'!$A$4:$A$312,$A162,'Safeguard facility data'!BK$4:BK$312,"&gt;0"))</f>
        <v>10560</v>
      </c>
      <c r="E162" s="67">
        <f>(SUMIFS('Safeguard facility data'!BE$4:BE$312,'Safeguard facility data'!$A$4:$A$312,$A162,'Safeguard facility data'!BE$4:BE$312,"&gt;0"))-(SUMIFS('Safeguard facility data'!BL$4:BL$312,'Safeguard facility data'!$A$4:$A$312,$A162,'Safeguard facility data'!BL$4:BL$312,"&gt;0"))</f>
        <v>29308</v>
      </c>
      <c r="F162" s="67">
        <f>(SUMIFS('Safeguard facility data'!BF$4:BF$312,'Safeguard facility data'!$A$4:$A$312,$A162,'Safeguard facility data'!BF$4:BF$312,"&gt;0"))-(SUMIFS('Safeguard facility data'!BM$4:BM$312,'Safeguard facility data'!$A$4:$A$312,$A162,'Safeguard facility data'!BM$4:BM$312,"&gt;0"))</f>
        <v>127499</v>
      </c>
      <c r="G162" s="67"/>
      <c r="H162" s="67"/>
      <c r="I162" s="67"/>
      <c r="J162" s="67"/>
      <c r="K162" s="67"/>
      <c r="L162" s="67"/>
      <c r="M162" s="67"/>
      <c r="N162" s="67"/>
      <c r="O162" s="67"/>
      <c r="P162" s="67"/>
      <c r="Q162" s="67"/>
    </row>
    <row r="163" spans="1:17">
      <c r="A163" s="87" t="s">
        <v>454</v>
      </c>
      <c r="B163" s="67">
        <f>(SUMIFS('Safeguard facility data'!BB$4:BB$312,'Safeguard facility data'!$A$4:$A$312,$A163,'Safeguard facility data'!BB$4:BB$312,"&gt;0"))-(SUMIFS('Safeguard facility data'!BI$4:BI$312,'Safeguard facility data'!$A$4:$A$312,$A163,'Safeguard facility data'!BI$4:BI$312,"&gt;0"))</f>
        <v>89404</v>
      </c>
      <c r="C163" s="67">
        <f>(SUMIFS('Safeguard facility data'!BC$4:BC$312,'Safeguard facility data'!$A$4:$A$312,$A163,'Safeguard facility data'!BC$4:BC$312,"&gt;0"))-(SUMIFS('Safeguard facility data'!BJ$4:BJ$312,'Safeguard facility data'!$A$4:$A$312,$A163,'Safeguard facility data'!BJ$4:BJ$312,"&gt;0"))</f>
        <v>-40724</v>
      </c>
      <c r="D163" s="67">
        <f>(SUMIFS('Safeguard facility data'!BD$4:BD$312,'Safeguard facility data'!$A$4:$A$312,$A163,'Safeguard facility data'!BD$4:BD$312,"&gt;0"))-(SUMIFS('Safeguard facility data'!BK$4:BK$312,'Safeguard facility data'!$A$4:$A$312,$A163,'Safeguard facility data'!BK$4:BK$312,"&gt;0"))</f>
        <v>-249955</v>
      </c>
      <c r="E163" s="67">
        <f>(SUMIFS('Safeguard facility data'!BE$4:BE$312,'Safeguard facility data'!$A$4:$A$312,$A163,'Safeguard facility data'!BE$4:BE$312,"&gt;0"))-(SUMIFS('Safeguard facility data'!BL$4:BL$312,'Safeguard facility data'!$A$4:$A$312,$A163,'Safeguard facility data'!BL$4:BL$312,"&gt;0"))</f>
        <v>46945</v>
      </c>
      <c r="F163" s="67">
        <f>(SUMIFS('Safeguard facility data'!BF$4:BF$312,'Safeguard facility data'!$A$4:$A$312,$A163,'Safeguard facility data'!BF$4:BF$312,"&gt;0"))-(SUMIFS('Safeguard facility data'!BM$4:BM$312,'Safeguard facility data'!$A$4:$A$312,$A163,'Safeguard facility data'!BM$4:BM$312,"&gt;0"))</f>
        <v>95391</v>
      </c>
      <c r="G163" s="67"/>
      <c r="H163" s="67"/>
      <c r="I163" s="67"/>
      <c r="J163" s="67"/>
      <c r="K163" s="67"/>
      <c r="L163" s="67"/>
      <c r="M163" s="67"/>
      <c r="N163" s="67"/>
      <c r="O163" s="67"/>
      <c r="P163" s="67"/>
      <c r="Q163" s="67"/>
    </row>
    <row r="164" spans="1:17">
      <c r="A164" s="87" t="s">
        <v>455</v>
      </c>
      <c r="B164" s="67">
        <f>(SUMIFS('Safeguard facility data'!BB$4:BB$312,'Safeguard facility data'!$A$4:$A$312,$A164,'Safeguard facility data'!BB$4:BB$312,"&gt;0"))-(SUMIFS('Safeguard facility data'!BI$4:BI$312,'Safeguard facility data'!$A$4:$A$312,$A164,'Safeguard facility data'!BI$4:BI$312,"&gt;0"))</f>
        <v>0</v>
      </c>
      <c r="C164" s="67">
        <f>(SUMIFS('Safeguard facility data'!BC$4:BC$312,'Safeguard facility data'!$A$4:$A$312,$A164,'Safeguard facility data'!BC$4:BC$312,"&gt;0"))-(SUMIFS('Safeguard facility data'!BJ$4:BJ$312,'Safeguard facility data'!$A$4:$A$312,$A164,'Safeguard facility data'!BJ$4:BJ$312,"&gt;0"))</f>
        <v>-93513</v>
      </c>
      <c r="D164" s="67">
        <f>(SUMIFS('Safeguard facility data'!BD$4:BD$312,'Safeguard facility data'!$A$4:$A$312,$A164,'Safeguard facility data'!BD$4:BD$312,"&gt;0"))-(SUMIFS('Safeguard facility data'!BK$4:BK$312,'Safeguard facility data'!$A$4:$A$312,$A164,'Safeguard facility data'!BK$4:BK$312,"&gt;0"))</f>
        <v>277509</v>
      </c>
      <c r="E164" s="67">
        <f>(SUMIFS('Safeguard facility data'!BE$4:BE$312,'Safeguard facility data'!$A$4:$A$312,$A164,'Safeguard facility data'!BE$4:BE$312,"&gt;0"))-(SUMIFS('Safeguard facility data'!BL$4:BL$312,'Safeguard facility data'!$A$4:$A$312,$A164,'Safeguard facility data'!BL$4:BL$312,"&gt;0"))</f>
        <v>-80028</v>
      </c>
      <c r="F164" s="67">
        <f>(SUMIFS('Safeguard facility data'!BF$4:BF$312,'Safeguard facility data'!$A$4:$A$312,$A164,'Safeguard facility data'!BF$4:BF$312,"&gt;0"))-(SUMIFS('Safeguard facility data'!BM$4:BM$312,'Safeguard facility data'!$A$4:$A$312,$A164,'Safeguard facility data'!BM$4:BM$312,"&gt;0"))</f>
        <v>2004485</v>
      </c>
      <c r="G164" s="67"/>
      <c r="H164" s="67"/>
      <c r="I164" s="67"/>
      <c r="J164" s="67"/>
      <c r="K164" s="67"/>
      <c r="L164" s="67"/>
      <c r="M164" s="67"/>
      <c r="N164" s="67"/>
      <c r="O164" s="67"/>
      <c r="P164" s="67"/>
      <c r="Q164" s="67"/>
    </row>
    <row r="165" spans="1:17">
      <c r="A165" s="87" t="s">
        <v>456</v>
      </c>
      <c r="B165" s="67">
        <f>(SUMIFS('Safeguard facility data'!BB$4:BB$312,'Safeguard facility data'!$A$4:$A$312,$A165,'Safeguard facility data'!BB$4:BB$312,"&gt;0"))-(SUMIFS('Safeguard facility data'!BI$4:BI$312,'Safeguard facility data'!$A$4:$A$312,$A165,'Safeguard facility data'!BI$4:BI$312,"&gt;0"))</f>
        <v>250231</v>
      </c>
      <c r="C165" s="67">
        <f>(SUMIFS('Safeguard facility data'!BC$4:BC$312,'Safeguard facility data'!$A$4:$A$312,$A165,'Safeguard facility data'!BC$4:BC$312,"&gt;0"))-(SUMIFS('Safeguard facility data'!BJ$4:BJ$312,'Safeguard facility data'!$A$4:$A$312,$A165,'Safeguard facility data'!BJ$4:BJ$312,"&gt;0"))</f>
        <v>311710</v>
      </c>
      <c r="D165" s="67">
        <f>(SUMIFS('Safeguard facility data'!BD$4:BD$312,'Safeguard facility data'!$A$4:$A$312,$A165,'Safeguard facility data'!BD$4:BD$312,"&gt;0"))-(SUMIFS('Safeguard facility data'!BK$4:BK$312,'Safeguard facility data'!$A$4:$A$312,$A165,'Safeguard facility data'!BK$4:BK$312,"&gt;0"))</f>
        <v>275344</v>
      </c>
      <c r="E165" s="67">
        <f>(SUMIFS('Safeguard facility data'!BE$4:BE$312,'Safeguard facility data'!$A$4:$A$312,$A165,'Safeguard facility data'!BE$4:BE$312,"&gt;0"))-(SUMIFS('Safeguard facility data'!BL$4:BL$312,'Safeguard facility data'!$A$4:$A$312,$A165,'Safeguard facility data'!BL$4:BL$312,"&gt;0"))</f>
        <v>254823</v>
      </c>
      <c r="F165" s="67">
        <f>(SUMIFS('Safeguard facility data'!BF$4:BF$312,'Safeguard facility data'!$A$4:$A$312,$A165,'Safeguard facility data'!BF$4:BF$312,"&gt;0"))-(SUMIFS('Safeguard facility data'!BM$4:BM$312,'Safeguard facility data'!$A$4:$A$312,$A165,'Safeguard facility data'!BM$4:BM$312,"&gt;0"))</f>
        <v>310201</v>
      </c>
      <c r="G165" s="67"/>
      <c r="H165" s="67"/>
      <c r="I165" s="67"/>
      <c r="J165" s="67"/>
      <c r="K165" s="67"/>
      <c r="L165" s="67"/>
      <c r="M165" s="67"/>
      <c r="N165" s="67"/>
      <c r="O165" s="67"/>
      <c r="P165" s="67"/>
      <c r="Q165" s="67"/>
    </row>
    <row r="166" spans="1:17">
      <c r="A166" s="87" t="s">
        <v>457</v>
      </c>
      <c r="B166" s="67">
        <f>(SUMIFS('Safeguard facility data'!BB$4:BB$312,'Safeguard facility data'!$A$4:$A$312,$A166,'Safeguard facility data'!BB$4:BB$312,"&gt;0"))-(SUMIFS('Safeguard facility data'!BI$4:BI$312,'Safeguard facility data'!$A$4:$A$312,$A166,'Safeguard facility data'!BI$4:BI$312,"&gt;0"))</f>
        <v>0</v>
      </c>
      <c r="C166" s="67">
        <f>(SUMIFS('Safeguard facility data'!BC$4:BC$312,'Safeguard facility data'!$A$4:$A$312,$A166,'Safeguard facility data'!BC$4:BC$312,"&gt;0"))-(SUMIFS('Safeguard facility data'!BJ$4:BJ$312,'Safeguard facility data'!$A$4:$A$312,$A166,'Safeguard facility data'!BJ$4:BJ$312,"&gt;0"))</f>
        <v>0</v>
      </c>
      <c r="D166" s="67">
        <f>(SUMIFS('Safeguard facility data'!BD$4:BD$312,'Safeguard facility data'!$A$4:$A$312,$A166,'Safeguard facility data'!BD$4:BD$312,"&gt;0"))-(SUMIFS('Safeguard facility data'!BK$4:BK$312,'Safeguard facility data'!$A$4:$A$312,$A166,'Safeguard facility data'!BK$4:BK$312,"&gt;0"))</f>
        <v>478050</v>
      </c>
      <c r="E166" s="67">
        <f>(SUMIFS('Safeguard facility data'!BE$4:BE$312,'Safeguard facility data'!$A$4:$A$312,$A166,'Safeguard facility data'!BE$4:BE$312,"&gt;0"))-(SUMIFS('Safeguard facility data'!BL$4:BL$312,'Safeguard facility data'!$A$4:$A$312,$A166,'Safeguard facility data'!BL$4:BL$312,"&gt;0"))</f>
        <v>217107</v>
      </c>
      <c r="F166" s="67">
        <f>(SUMIFS('Safeguard facility data'!BF$4:BF$312,'Safeguard facility data'!$A$4:$A$312,$A166,'Safeguard facility data'!BF$4:BF$312,"&gt;0"))-(SUMIFS('Safeguard facility data'!BM$4:BM$312,'Safeguard facility data'!$A$4:$A$312,$A166,'Safeguard facility data'!BM$4:BM$312,"&gt;0"))</f>
        <v>56437</v>
      </c>
      <c r="G166" s="67"/>
      <c r="H166" s="67"/>
      <c r="I166" s="67"/>
      <c r="J166" s="67"/>
      <c r="K166" s="67"/>
      <c r="L166" s="67"/>
      <c r="M166" s="67"/>
      <c r="N166" s="67"/>
      <c r="O166" s="67"/>
      <c r="P166" s="67"/>
      <c r="Q166" s="67"/>
    </row>
    <row r="167" spans="1:17">
      <c r="A167" s="87" t="s">
        <v>458</v>
      </c>
      <c r="B167" s="67">
        <f>(SUMIFS('Safeguard facility data'!BB$4:BB$312,'Safeguard facility data'!$A$4:$A$312,$A167,'Safeguard facility data'!BB$4:BB$312,"&gt;0"))-(SUMIFS('Safeguard facility data'!BI$4:BI$312,'Safeguard facility data'!$A$4:$A$312,$A167,'Safeguard facility data'!BI$4:BI$312,"&gt;0"))</f>
        <v>141275</v>
      </c>
      <c r="C167" s="67">
        <f>(SUMIFS('Safeguard facility data'!BC$4:BC$312,'Safeguard facility data'!$A$4:$A$312,$A167,'Safeguard facility data'!BC$4:BC$312,"&gt;0"))-(SUMIFS('Safeguard facility data'!BJ$4:BJ$312,'Safeguard facility data'!$A$4:$A$312,$A167,'Safeguard facility data'!BJ$4:BJ$312,"&gt;0"))</f>
        <v>127949</v>
      </c>
      <c r="D167" s="67">
        <f>(SUMIFS('Safeguard facility data'!BD$4:BD$312,'Safeguard facility data'!$A$4:$A$312,$A167,'Safeguard facility data'!BD$4:BD$312,"&gt;0"))-(SUMIFS('Safeguard facility data'!BK$4:BK$312,'Safeguard facility data'!$A$4:$A$312,$A167,'Safeguard facility data'!BK$4:BK$312,"&gt;0"))</f>
        <v>333244</v>
      </c>
      <c r="E167" s="67">
        <f>(SUMIFS('Safeguard facility data'!BE$4:BE$312,'Safeguard facility data'!$A$4:$A$312,$A167,'Safeguard facility data'!BE$4:BE$312,"&gt;0"))-(SUMIFS('Safeguard facility data'!BL$4:BL$312,'Safeguard facility data'!$A$4:$A$312,$A167,'Safeguard facility data'!BL$4:BL$312,"&gt;0"))</f>
        <v>333244</v>
      </c>
      <c r="F167" s="67">
        <f>(SUMIFS('Safeguard facility data'!BF$4:BF$312,'Safeguard facility data'!$A$4:$A$312,$A167,'Safeguard facility data'!BF$4:BF$312,"&gt;0"))-(SUMIFS('Safeguard facility data'!BM$4:BM$312,'Safeguard facility data'!$A$4:$A$312,$A167,'Safeguard facility data'!BM$4:BM$312,"&gt;0"))</f>
        <v>363977</v>
      </c>
      <c r="G167" s="67"/>
      <c r="H167" s="67"/>
      <c r="I167" s="67"/>
      <c r="J167" s="67"/>
      <c r="K167" s="67"/>
      <c r="L167" s="67"/>
      <c r="M167" s="67"/>
      <c r="N167" s="67"/>
      <c r="O167" s="67"/>
      <c r="P167" s="67"/>
      <c r="Q167" s="67"/>
    </row>
    <row r="168" spans="1:17">
      <c r="A168" s="54" t="s">
        <v>459</v>
      </c>
      <c r="B168" s="67">
        <f>(SUMIFS('Safeguard facility data'!BB$4:BB$312,'Safeguard facility data'!$A$4:$A$312,$A168,'Safeguard facility data'!BB$4:BB$312,"&gt;0"))-(SUMIFS('Safeguard facility data'!BI$4:BI$312,'Safeguard facility data'!$A$4:$A$312,$A168,'Safeguard facility data'!BI$4:BI$312,"&gt;0"))</f>
        <v>392492</v>
      </c>
      <c r="C168" s="67">
        <f>(SUMIFS('Safeguard facility data'!BC$4:BC$312,'Safeguard facility data'!$A$4:$A$312,$A168,'Safeguard facility data'!BC$4:BC$312,"&gt;0"))-(SUMIFS('Safeguard facility data'!BJ$4:BJ$312,'Safeguard facility data'!$A$4:$A$312,$A168,'Safeguard facility data'!BJ$4:BJ$312,"&gt;0"))</f>
        <v>383459</v>
      </c>
      <c r="D168" s="67">
        <f>(SUMIFS('Safeguard facility data'!BD$4:BD$312,'Safeguard facility data'!$A$4:$A$312,$A168,'Safeguard facility data'!BD$4:BD$312,"&gt;0"))-(SUMIFS('Safeguard facility data'!BK$4:BK$312,'Safeguard facility data'!$A$4:$A$312,$A168,'Safeguard facility data'!BK$4:BK$312,"&gt;0"))</f>
        <v>397273</v>
      </c>
      <c r="E168" s="67">
        <f>(SUMIFS('Safeguard facility data'!BE$4:BE$312,'Safeguard facility data'!$A$4:$A$312,$A168,'Safeguard facility data'!BE$4:BE$312,"&gt;0"))-(SUMIFS('Safeguard facility data'!BL$4:BL$312,'Safeguard facility data'!$A$4:$A$312,$A168,'Safeguard facility data'!BL$4:BL$312,"&gt;0"))</f>
        <v>0</v>
      </c>
      <c r="F168" s="67">
        <f>(SUMIFS('Safeguard facility data'!BF$4:BF$312,'Safeguard facility data'!$A$4:$A$312,$A168,'Safeguard facility data'!BF$4:BF$312,"&gt;0"))-(SUMIFS('Safeguard facility data'!BM$4:BM$312,'Safeguard facility data'!$A$4:$A$312,$A168,'Safeguard facility data'!BM$4:BM$312,"&gt;0"))</f>
        <v>0</v>
      </c>
      <c r="G168" s="67"/>
      <c r="H168" s="67"/>
      <c r="I168" s="67"/>
      <c r="J168" s="67"/>
      <c r="K168" s="67"/>
      <c r="L168" s="67"/>
      <c r="M168" s="67"/>
      <c r="N168" s="67"/>
      <c r="O168" s="67"/>
      <c r="P168" s="67"/>
      <c r="Q168" s="67"/>
    </row>
    <row r="169" spans="1:17">
      <c r="A169" s="87" t="s">
        <v>460</v>
      </c>
      <c r="B169" s="67">
        <f>(SUMIFS('Safeguard facility data'!BB$4:BB$312,'Safeguard facility data'!$A$4:$A$312,$A169,'Safeguard facility data'!BB$4:BB$312,"&gt;0"))-(SUMIFS('Safeguard facility data'!BI$4:BI$312,'Safeguard facility data'!$A$4:$A$312,$A169,'Safeguard facility data'!BI$4:BI$312,"&gt;0"))</f>
        <v>0</v>
      </c>
      <c r="C169" s="67">
        <f>(SUMIFS('Safeguard facility data'!BC$4:BC$312,'Safeguard facility data'!$A$4:$A$312,$A169,'Safeguard facility data'!BC$4:BC$312,"&gt;0"))-(SUMIFS('Safeguard facility data'!BJ$4:BJ$312,'Safeguard facility data'!$A$4:$A$312,$A169,'Safeguard facility data'!BJ$4:BJ$312,"&gt;0"))</f>
        <v>0</v>
      </c>
      <c r="D169" s="67">
        <f>(SUMIFS('Safeguard facility data'!BD$4:BD$312,'Safeguard facility data'!$A$4:$A$312,$A169,'Safeguard facility data'!BD$4:BD$312,"&gt;0"))-(SUMIFS('Safeguard facility data'!BK$4:BK$312,'Safeguard facility data'!$A$4:$A$312,$A169,'Safeguard facility data'!BK$4:BK$312,"&gt;0"))</f>
        <v>0</v>
      </c>
      <c r="E169" s="67">
        <f>(SUMIFS('Safeguard facility data'!BE$4:BE$312,'Safeguard facility data'!$A$4:$A$312,$A169,'Safeguard facility data'!BE$4:BE$312,"&gt;0"))-(SUMIFS('Safeguard facility data'!BL$4:BL$312,'Safeguard facility data'!$A$4:$A$312,$A169,'Safeguard facility data'!BL$4:BL$312,"&gt;0"))</f>
        <v>646914</v>
      </c>
      <c r="F169" s="67">
        <f>(SUMIFS('Safeguard facility data'!BF$4:BF$312,'Safeguard facility data'!$A$4:$A$312,$A169,'Safeguard facility data'!BF$4:BF$312,"&gt;0"))-(SUMIFS('Safeguard facility data'!BM$4:BM$312,'Safeguard facility data'!$A$4:$A$312,$A169,'Safeguard facility data'!BM$4:BM$312,"&gt;0"))</f>
        <v>7188</v>
      </c>
      <c r="G169" s="67"/>
      <c r="H169" s="67"/>
      <c r="I169" s="67"/>
      <c r="J169" s="67"/>
      <c r="K169" s="67"/>
      <c r="L169" s="67"/>
      <c r="M169" s="67"/>
      <c r="N169" s="67"/>
      <c r="O169" s="67"/>
      <c r="P169" s="67"/>
      <c r="Q169" s="67"/>
    </row>
    <row r="170" spans="1:17">
      <c r="A170" s="87" t="s">
        <v>461</v>
      </c>
      <c r="B170" s="67">
        <f>(SUMIFS('Safeguard facility data'!BB$4:BB$312,'Safeguard facility data'!$A$4:$A$312,$A170,'Safeguard facility data'!BB$4:BB$312,"&gt;0"))-(SUMIFS('Safeguard facility data'!BI$4:BI$312,'Safeguard facility data'!$A$4:$A$312,$A170,'Safeguard facility data'!BI$4:BI$312,"&gt;0"))</f>
        <v>-8033</v>
      </c>
      <c r="C170" s="67">
        <f>(SUMIFS('Safeguard facility data'!BC$4:BC$312,'Safeguard facility data'!$A$4:$A$312,$A170,'Safeguard facility data'!BC$4:BC$312,"&gt;0"))-(SUMIFS('Safeguard facility data'!BJ$4:BJ$312,'Safeguard facility data'!$A$4:$A$312,$A170,'Safeguard facility data'!BJ$4:BJ$312,"&gt;0"))</f>
        <v>122407</v>
      </c>
      <c r="D170" s="67">
        <f>(SUMIFS('Safeguard facility data'!BD$4:BD$312,'Safeguard facility data'!$A$4:$A$312,$A170,'Safeguard facility data'!BD$4:BD$312,"&gt;0"))-(SUMIFS('Safeguard facility data'!BK$4:BK$312,'Safeguard facility data'!$A$4:$A$312,$A170,'Safeguard facility data'!BK$4:BK$312,"&gt;0"))</f>
        <v>134502</v>
      </c>
      <c r="E170" s="67">
        <f>(SUMIFS('Safeguard facility data'!BE$4:BE$312,'Safeguard facility data'!$A$4:$A$312,$A170,'Safeguard facility data'!BE$4:BE$312,"&gt;0"))-(SUMIFS('Safeguard facility data'!BL$4:BL$312,'Safeguard facility data'!$A$4:$A$312,$A170,'Safeguard facility data'!BL$4:BL$312,"&gt;0"))</f>
        <v>144809</v>
      </c>
      <c r="F170" s="67">
        <f>(SUMIFS('Safeguard facility data'!BF$4:BF$312,'Safeguard facility data'!$A$4:$A$312,$A170,'Safeguard facility data'!BF$4:BF$312,"&gt;0"))-(SUMIFS('Safeguard facility data'!BM$4:BM$312,'Safeguard facility data'!$A$4:$A$312,$A170,'Safeguard facility data'!BM$4:BM$312,"&gt;0"))</f>
        <v>142982</v>
      </c>
      <c r="G170" s="67"/>
      <c r="H170" s="67"/>
      <c r="I170" s="67"/>
      <c r="J170" s="67"/>
      <c r="K170" s="67"/>
      <c r="L170" s="67"/>
      <c r="M170" s="67"/>
      <c r="N170" s="67"/>
      <c r="O170" s="67"/>
      <c r="P170" s="67"/>
      <c r="Q170" s="67"/>
    </row>
    <row r="171" spans="1:17">
      <c r="A171" s="87" t="s">
        <v>462</v>
      </c>
      <c r="B171" s="67">
        <f>(SUMIFS('Safeguard facility data'!BB$4:BB$312,'Safeguard facility data'!$A$4:$A$312,$A171,'Safeguard facility data'!BB$4:BB$312,"&gt;0"))-(SUMIFS('Safeguard facility data'!BI$4:BI$312,'Safeguard facility data'!$A$4:$A$312,$A171,'Safeguard facility data'!BI$4:BI$312,"&gt;0"))</f>
        <v>65598</v>
      </c>
      <c r="C171" s="67">
        <f>(SUMIFS('Safeguard facility data'!BC$4:BC$312,'Safeguard facility data'!$A$4:$A$312,$A171,'Safeguard facility data'!BC$4:BC$312,"&gt;0"))-(SUMIFS('Safeguard facility data'!BJ$4:BJ$312,'Safeguard facility data'!$A$4:$A$312,$A171,'Safeguard facility data'!BJ$4:BJ$312,"&gt;0"))</f>
        <v>55120</v>
      </c>
      <c r="D171" s="67">
        <f>(SUMIFS('Safeguard facility data'!BD$4:BD$312,'Safeguard facility data'!$A$4:$A$312,$A171,'Safeguard facility data'!BD$4:BD$312,"&gt;0"))-(SUMIFS('Safeguard facility data'!BK$4:BK$312,'Safeguard facility data'!$A$4:$A$312,$A171,'Safeguard facility data'!BK$4:BK$312,"&gt;0"))</f>
        <v>66479</v>
      </c>
      <c r="E171" s="67">
        <f>(SUMIFS('Safeguard facility data'!BE$4:BE$312,'Safeguard facility data'!$A$4:$A$312,$A171,'Safeguard facility data'!BE$4:BE$312,"&gt;0"))-(SUMIFS('Safeguard facility data'!BL$4:BL$312,'Safeguard facility data'!$A$4:$A$312,$A171,'Safeguard facility data'!BL$4:BL$312,"&gt;0"))</f>
        <v>80153</v>
      </c>
      <c r="F171" s="67">
        <f>(SUMIFS('Safeguard facility data'!BF$4:BF$312,'Safeguard facility data'!$A$4:$A$312,$A171,'Safeguard facility data'!BF$4:BF$312,"&gt;0"))-(SUMIFS('Safeguard facility data'!BM$4:BM$312,'Safeguard facility data'!$A$4:$A$312,$A171,'Safeguard facility data'!BM$4:BM$312,"&gt;0"))</f>
        <v>130584</v>
      </c>
      <c r="G171" s="67"/>
      <c r="H171" s="67"/>
      <c r="I171" s="67"/>
      <c r="J171" s="67"/>
      <c r="K171" s="67"/>
      <c r="L171" s="67"/>
      <c r="M171" s="67"/>
      <c r="N171" s="67"/>
      <c r="O171" s="67"/>
      <c r="P171" s="67"/>
      <c r="Q171" s="67"/>
    </row>
    <row r="172" spans="1:17">
      <c r="A172" s="87" t="s">
        <v>463</v>
      </c>
      <c r="B172" s="67">
        <f>(SUMIFS('Safeguard facility data'!BB$4:BB$312,'Safeguard facility data'!$A$4:$A$312,$A172,'Safeguard facility data'!BB$4:BB$312,"&gt;0"))-(SUMIFS('Safeguard facility data'!BI$4:BI$312,'Safeguard facility data'!$A$4:$A$312,$A172,'Safeguard facility data'!BI$4:BI$312,"&gt;0"))</f>
        <v>96550</v>
      </c>
      <c r="C172" s="67">
        <f>(SUMIFS('Safeguard facility data'!BC$4:BC$312,'Safeguard facility data'!$A$4:$A$312,$A172,'Safeguard facility data'!BC$4:BC$312,"&gt;0"))-(SUMIFS('Safeguard facility data'!BJ$4:BJ$312,'Safeguard facility data'!$A$4:$A$312,$A172,'Safeguard facility data'!BJ$4:BJ$312,"&gt;0"))</f>
        <v>0</v>
      </c>
      <c r="D172" s="67">
        <f>(SUMIFS('Safeguard facility data'!BD$4:BD$312,'Safeguard facility data'!$A$4:$A$312,$A172,'Safeguard facility data'!BD$4:BD$312,"&gt;0"))-(SUMIFS('Safeguard facility data'!BK$4:BK$312,'Safeguard facility data'!$A$4:$A$312,$A172,'Safeguard facility data'!BK$4:BK$312,"&gt;0"))</f>
        <v>0</v>
      </c>
      <c r="E172" s="67">
        <f>(SUMIFS('Safeguard facility data'!BE$4:BE$312,'Safeguard facility data'!$A$4:$A$312,$A172,'Safeguard facility data'!BE$4:BE$312,"&gt;0"))-(SUMIFS('Safeguard facility data'!BL$4:BL$312,'Safeguard facility data'!$A$4:$A$312,$A172,'Safeguard facility data'!BL$4:BL$312,"&gt;0"))</f>
        <v>364218</v>
      </c>
      <c r="F172" s="67">
        <f>(SUMIFS('Safeguard facility data'!BF$4:BF$312,'Safeguard facility data'!$A$4:$A$312,$A172,'Safeguard facility data'!BF$4:BF$312,"&gt;0"))-(SUMIFS('Safeguard facility data'!BM$4:BM$312,'Safeguard facility data'!$A$4:$A$312,$A172,'Safeguard facility data'!BM$4:BM$312,"&gt;0"))</f>
        <v>422186</v>
      </c>
      <c r="G172" s="67"/>
      <c r="H172" s="67"/>
      <c r="I172" s="67"/>
      <c r="J172" s="67"/>
      <c r="K172" s="67"/>
      <c r="L172" s="67"/>
      <c r="M172" s="67"/>
      <c r="N172" s="67"/>
      <c r="O172" s="67"/>
      <c r="P172" s="67"/>
      <c r="Q172" s="67"/>
    </row>
    <row r="173" spans="1:17">
      <c r="A173" s="87" t="s">
        <v>464</v>
      </c>
      <c r="B173" s="67">
        <f>(SUMIFS('Safeguard facility data'!BB$4:BB$312,'Safeguard facility data'!$A$4:$A$312,$A173,'Safeguard facility data'!BB$4:BB$312,"&gt;0"))-(SUMIFS('Safeguard facility data'!BI$4:BI$312,'Safeguard facility data'!$A$4:$A$312,$A173,'Safeguard facility data'!BI$4:BI$312,"&gt;0"))</f>
        <v>100000</v>
      </c>
      <c r="C173" s="67">
        <f>(SUMIFS('Safeguard facility data'!BC$4:BC$312,'Safeguard facility data'!$A$4:$A$312,$A173,'Safeguard facility data'!BC$4:BC$312,"&gt;0"))-(SUMIFS('Safeguard facility data'!BJ$4:BJ$312,'Safeguard facility data'!$A$4:$A$312,$A173,'Safeguard facility data'!BJ$4:BJ$312,"&gt;0"))</f>
        <v>100000</v>
      </c>
      <c r="D173" s="67">
        <f>(SUMIFS('Safeguard facility data'!BD$4:BD$312,'Safeguard facility data'!$A$4:$A$312,$A173,'Safeguard facility data'!BD$4:BD$312,"&gt;0"))-(SUMIFS('Safeguard facility data'!BK$4:BK$312,'Safeguard facility data'!$A$4:$A$312,$A173,'Safeguard facility data'!BK$4:BK$312,"&gt;0"))</f>
        <v>100000</v>
      </c>
      <c r="E173" s="67">
        <f>(SUMIFS('Safeguard facility data'!BE$4:BE$312,'Safeguard facility data'!$A$4:$A$312,$A173,'Safeguard facility data'!BE$4:BE$312,"&gt;0"))-(SUMIFS('Safeguard facility data'!BL$4:BL$312,'Safeguard facility data'!$A$4:$A$312,$A173,'Safeguard facility data'!BL$4:BL$312,"&gt;0"))</f>
        <v>100000</v>
      </c>
      <c r="F173" s="67">
        <f>(SUMIFS('Safeguard facility data'!BF$4:BF$312,'Safeguard facility data'!$A$4:$A$312,$A173,'Safeguard facility data'!BF$4:BF$312,"&gt;0"))-(SUMIFS('Safeguard facility data'!BM$4:BM$312,'Safeguard facility data'!$A$4:$A$312,$A173,'Safeguard facility data'!BM$4:BM$312,"&gt;0"))</f>
        <v>100000</v>
      </c>
      <c r="G173" s="67"/>
      <c r="H173" s="67"/>
      <c r="I173" s="67"/>
      <c r="J173" s="67"/>
      <c r="K173" s="67"/>
      <c r="L173" s="67"/>
      <c r="M173" s="67"/>
      <c r="N173" s="67"/>
      <c r="O173" s="67"/>
      <c r="P173" s="67"/>
      <c r="Q173" s="67"/>
    </row>
    <row r="174" spans="1:17">
      <c r="A174" s="87" t="s">
        <v>465</v>
      </c>
      <c r="B174" s="67">
        <f>(SUMIFS('Safeguard facility data'!BB$4:BB$312,'Safeguard facility data'!$A$4:$A$312,$A174,'Safeguard facility data'!BB$4:BB$312,"&gt;0"))-(SUMIFS('Safeguard facility data'!BI$4:BI$312,'Safeguard facility data'!$A$4:$A$312,$A174,'Safeguard facility data'!BI$4:BI$312,"&gt;0"))</f>
        <v>99567</v>
      </c>
      <c r="C174" s="67">
        <f>(SUMIFS('Safeguard facility data'!BC$4:BC$312,'Safeguard facility data'!$A$4:$A$312,$A174,'Safeguard facility data'!BC$4:BC$312,"&gt;0"))-(SUMIFS('Safeguard facility data'!BJ$4:BJ$312,'Safeguard facility data'!$A$4:$A$312,$A174,'Safeguard facility data'!BJ$4:BJ$312,"&gt;0"))</f>
        <v>163553</v>
      </c>
      <c r="D174" s="67">
        <f>(SUMIFS('Safeguard facility data'!BD$4:BD$312,'Safeguard facility data'!$A$4:$A$312,$A174,'Safeguard facility data'!BD$4:BD$312,"&gt;0"))-(SUMIFS('Safeguard facility data'!BK$4:BK$312,'Safeguard facility data'!$A$4:$A$312,$A174,'Safeguard facility data'!BK$4:BK$312,"&gt;0"))</f>
        <v>43979</v>
      </c>
      <c r="E174" s="67">
        <f>(SUMIFS('Safeguard facility data'!BE$4:BE$312,'Safeguard facility data'!$A$4:$A$312,$A174,'Safeguard facility data'!BE$4:BE$312,"&gt;0"))-(SUMIFS('Safeguard facility data'!BL$4:BL$312,'Safeguard facility data'!$A$4:$A$312,$A174,'Safeguard facility data'!BL$4:BL$312,"&gt;0"))</f>
        <v>20608</v>
      </c>
      <c r="F174" s="67">
        <f>(SUMIFS('Safeguard facility data'!BF$4:BF$312,'Safeguard facility data'!$A$4:$A$312,$A174,'Safeguard facility data'!BF$4:BF$312,"&gt;0"))-(SUMIFS('Safeguard facility data'!BM$4:BM$312,'Safeguard facility data'!$A$4:$A$312,$A174,'Safeguard facility data'!BM$4:BM$312,"&gt;0"))</f>
        <v>731809</v>
      </c>
      <c r="G174" s="67"/>
      <c r="H174" s="67"/>
      <c r="I174" s="67"/>
      <c r="J174" s="67"/>
      <c r="K174" s="67"/>
      <c r="L174" s="67"/>
      <c r="M174" s="67"/>
      <c r="N174" s="67"/>
      <c r="O174" s="67"/>
      <c r="P174" s="67"/>
      <c r="Q174" s="67"/>
    </row>
    <row r="175" spans="1:17">
      <c r="A175" s="87" t="s">
        <v>466</v>
      </c>
      <c r="B175" s="67">
        <f>(SUMIFS('Safeguard facility data'!BB$4:BB$312,'Safeguard facility data'!$A$4:$A$312,$A175,'Safeguard facility data'!BB$4:BB$312,"&gt;0"))-(SUMIFS('Safeguard facility data'!BI$4:BI$312,'Safeguard facility data'!$A$4:$A$312,$A175,'Safeguard facility data'!BI$4:BI$312,"&gt;0"))</f>
        <v>286093</v>
      </c>
      <c r="C175" s="67">
        <f>(SUMIFS('Safeguard facility data'!BC$4:BC$312,'Safeguard facility data'!$A$4:$A$312,$A175,'Safeguard facility data'!BC$4:BC$312,"&gt;0"))-(SUMIFS('Safeguard facility data'!BJ$4:BJ$312,'Safeguard facility data'!$A$4:$A$312,$A175,'Safeguard facility data'!BJ$4:BJ$312,"&gt;0"))</f>
        <v>286093</v>
      </c>
      <c r="D175" s="67">
        <f>(SUMIFS('Safeguard facility data'!BD$4:BD$312,'Safeguard facility data'!$A$4:$A$312,$A175,'Safeguard facility data'!BD$4:BD$312,"&gt;0"))-(SUMIFS('Safeguard facility data'!BK$4:BK$312,'Safeguard facility data'!$A$4:$A$312,$A175,'Safeguard facility data'!BK$4:BK$312,"&gt;0"))</f>
        <v>286093</v>
      </c>
      <c r="E175" s="67">
        <f>(SUMIFS('Safeguard facility data'!BE$4:BE$312,'Safeguard facility data'!$A$4:$A$312,$A175,'Safeguard facility data'!BE$4:BE$312,"&gt;0"))-(SUMIFS('Safeguard facility data'!BL$4:BL$312,'Safeguard facility data'!$A$4:$A$312,$A175,'Safeguard facility data'!BL$4:BL$312,"&gt;0"))</f>
        <v>286093</v>
      </c>
      <c r="F175" s="67">
        <f>(SUMIFS('Safeguard facility data'!BF$4:BF$312,'Safeguard facility data'!$A$4:$A$312,$A175,'Safeguard facility data'!BF$4:BF$312,"&gt;0"))-(SUMIFS('Safeguard facility data'!BM$4:BM$312,'Safeguard facility data'!$A$4:$A$312,$A175,'Safeguard facility data'!BM$4:BM$312,"&gt;0"))</f>
        <v>286093</v>
      </c>
      <c r="G175" s="67"/>
      <c r="H175" s="67"/>
      <c r="I175" s="67"/>
      <c r="J175" s="67"/>
      <c r="K175" s="67"/>
      <c r="L175" s="67"/>
      <c r="M175" s="67"/>
      <c r="N175" s="67"/>
      <c r="O175" s="67"/>
      <c r="P175" s="67"/>
      <c r="Q175" s="67"/>
    </row>
    <row r="176" spans="1:17">
      <c r="A176" s="87" t="s">
        <v>467</v>
      </c>
      <c r="B176" s="67">
        <f>(SUMIFS('Safeguard facility data'!BB$4:BB$312,'Safeguard facility data'!$A$4:$A$312,$A176,'Safeguard facility data'!BB$4:BB$312,"&gt;0"))-(SUMIFS('Safeguard facility data'!BI$4:BI$312,'Safeguard facility data'!$A$4:$A$312,$A176,'Safeguard facility data'!BI$4:BI$312,"&gt;0"))</f>
        <v>156813</v>
      </c>
      <c r="C176" s="67">
        <f>(SUMIFS('Safeguard facility data'!BC$4:BC$312,'Safeguard facility data'!$A$4:$A$312,$A176,'Safeguard facility data'!BC$4:BC$312,"&gt;0"))-(SUMIFS('Safeguard facility data'!BJ$4:BJ$312,'Safeguard facility data'!$A$4:$A$312,$A176,'Safeguard facility data'!BJ$4:BJ$312,"&gt;0"))</f>
        <v>156813</v>
      </c>
      <c r="D176" s="67">
        <f>(SUMIFS('Safeguard facility data'!BD$4:BD$312,'Safeguard facility data'!$A$4:$A$312,$A176,'Safeguard facility data'!BD$4:BD$312,"&gt;0"))-(SUMIFS('Safeguard facility data'!BK$4:BK$312,'Safeguard facility data'!$A$4:$A$312,$A176,'Safeguard facility data'!BK$4:BK$312,"&gt;0"))</f>
        <v>156813</v>
      </c>
      <c r="E176" s="67">
        <f>(SUMIFS('Safeguard facility data'!BE$4:BE$312,'Safeguard facility data'!$A$4:$A$312,$A176,'Safeguard facility data'!BE$4:BE$312,"&gt;0"))-(SUMIFS('Safeguard facility data'!BL$4:BL$312,'Safeguard facility data'!$A$4:$A$312,$A176,'Safeguard facility data'!BL$4:BL$312,"&gt;0"))</f>
        <v>156813</v>
      </c>
      <c r="F176" s="67">
        <f>(SUMIFS('Safeguard facility data'!BF$4:BF$312,'Safeguard facility data'!$A$4:$A$312,$A176,'Safeguard facility data'!BF$4:BF$312,"&gt;0"))-(SUMIFS('Safeguard facility data'!BM$4:BM$312,'Safeguard facility data'!$A$4:$A$312,$A176,'Safeguard facility data'!BM$4:BM$312,"&gt;0"))</f>
        <v>156813</v>
      </c>
      <c r="G176" s="67"/>
      <c r="H176" s="67"/>
      <c r="I176" s="67"/>
      <c r="J176" s="67"/>
      <c r="K176" s="67"/>
      <c r="L176" s="67"/>
      <c r="M176" s="67"/>
      <c r="N176" s="67"/>
      <c r="O176" s="67"/>
      <c r="P176" s="67"/>
      <c r="Q176" s="67"/>
    </row>
    <row r="177" spans="1:17">
      <c r="A177" s="87" t="s">
        <v>468</v>
      </c>
      <c r="B177" s="67">
        <f>(SUMIFS('Safeguard facility data'!BB$4:BB$312,'Safeguard facility data'!$A$4:$A$312,$A177,'Safeguard facility data'!BB$4:BB$312,"&gt;0"))-(SUMIFS('Safeguard facility data'!BI$4:BI$312,'Safeguard facility data'!$A$4:$A$312,$A177,'Safeguard facility data'!BI$4:BI$312,"&gt;0"))</f>
        <v>227315</v>
      </c>
      <c r="C177" s="67">
        <f>(SUMIFS('Safeguard facility data'!BC$4:BC$312,'Safeguard facility data'!$A$4:$A$312,$A177,'Safeguard facility data'!BC$4:BC$312,"&gt;0"))-(SUMIFS('Safeguard facility data'!BJ$4:BJ$312,'Safeguard facility data'!$A$4:$A$312,$A177,'Safeguard facility data'!BJ$4:BJ$312,"&gt;0"))</f>
        <v>227315</v>
      </c>
      <c r="D177" s="67">
        <f>(SUMIFS('Safeguard facility data'!BD$4:BD$312,'Safeguard facility data'!$A$4:$A$312,$A177,'Safeguard facility data'!BD$4:BD$312,"&gt;0"))-(SUMIFS('Safeguard facility data'!BK$4:BK$312,'Safeguard facility data'!$A$4:$A$312,$A177,'Safeguard facility data'!BK$4:BK$312,"&gt;0"))</f>
        <v>227315</v>
      </c>
      <c r="E177" s="67">
        <f>(SUMIFS('Safeguard facility data'!BE$4:BE$312,'Safeguard facility data'!$A$4:$A$312,$A177,'Safeguard facility data'!BE$4:BE$312,"&gt;0"))-(SUMIFS('Safeguard facility data'!BL$4:BL$312,'Safeguard facility data'!$A$4:$A$312,$A177,'Safeguard facility data'!BL$4:BL$312,"&gt;0"))</f>
        <v>227315</v>
      </c>
      <c r="F177" s="67">
        <f>(SUMIFS('Safeguard facility data'!BF$4:BF$312,'Safeguard facility data'!$A$4:$A$312,$A177,'Safeguard facility data'!BF$4:BF$312,"&gt;0"))-(SUMIFS('Safeguard facility data'!BM$4:BM$312,'Safeguard facility data'!$A$4:$A$312,$A177,'Safeguard facility data'!BM$4:BM$312,"&gt;0"))</f>
        <v>125988</v>
      </c>
      <c r="G177" s="67"/>
      <c r="H177" s="67"/>
      <c r="I177" s="67"/>
      <c r="J177" s="67"/>
      <c r="K177" s="67"/>
      <c r="L177" s="67"/>
      <c r="M177" s="67"/>
      <c r="N177" s="67"/>
      <c r="O177" s="67"/>
      <c r="P177" s="67"/>
      <c r="Q177" s="67"/>
    </row>
    <row r="178" spans="1:17">
      <c r="A178" s="87" t="s">
        <v>469</v>
      </c>
      <c r="B178" s="67">
        <f>(SUMIFS('Safeguard facility data'!BB$4:BB$312,'Safeguard facility data'!$A$4:$A$312,$A178,'Safeguard facility data'!BB$4:BB$312,"&gt;0"))-(SUMIFS('Safeguard facility data'!BI$4:BI$312,'Safeguard facility data'!$A$4:$A$312,$A178,'Safeguard facility data'!BI$4:BI$312,"&gt;0"))</f>
        <v>703108</v>
      </c>
      <c r="C178" s="67">
        <f>(SUMIFS('Safeguard facility data'!BC$4:BC$312,'Safeguard facility data'!$A$4:$A$312,$A178,'Safeguard facility data'!BC$4:BC$312,"&gt;0"))-(SUMIFS('Safeguard facility data'!BJ$4:BJ$312,'Safeguard facility data'!$A$4:$A$312,$A178,'Safeguard facility data'!BJ$4:BJ$312,"&gt;0"))</f>
        <v>697431</v>
      </c>
      <c r="D178" s="67">
        <f>(SUMIFS('Safeguard facility data'!BD$4:BD$312,'Safeguard facility data'!$A$4:$A$312,$A178,'Safeguard facility data'!BD$4:BD$312,"&gt;0"))-(SUMIFS('Safeguard facility data'!BK$4:BK$312,'Safeguard facility data'!$A$4:$A$312,$A178,'Safeguard facility data'!BK$4:BK$312,"&gt;0"))</f>
        <v>680764</v>
      </c>
      <c r="E178" s="67">
        <f>(SUMIFS('Safeguard facility data'!BE$4:BE$312,'Safeguard facility data'!$A$4:$A$312,$A178,'Safeguard facility data'!BE$4:BE$312,"&gt;0"))-(SUMIFS('Safeguard facility data'!BL$4:BL$312,'Safeguard facility data'!$A$4:$A$312,$A178,'Safeguard facility data'!BL$4:BL$312,"&gt;0"))</f>
        <v>538065</v>
      </c>
      <c r="F178" s="67">
        <f>(SUMIFS('Safeguard facility data'!BF$4:BF$312,'Safeguard facility data'!$A$4:$A$312,$A178,'Safeguard facility data'!BF$4:BF$312,"&gt;0"))-(SUMIFS('Safeguard facility data'!BM$4:BM$312,'Safeguard facility data'!$A$4:$A$312,$A178,'Safeguard facility data'!BM$4:BM$312,"&gt;0"))</f>
        <v>63625</v>
      </c>
      <c r="G178" s="67"/>
      <c r="H178" s="67"/>
      <c r="I178" s="67"/>
      <c r="J178" s="67"/>
      <c r="K178" s="67"/>
      <c r="L178" s="67"/>
      <c r="M178" s="67"/>
      <c r="N178" s="67"/>
      <c r="O178" s="67"/>
      <c r="P178" s="67"/>
      <c r="Q178" s="67"/>
    </row>
    <row r="179" spans="1:17">
      <c r="A179" s="87" t="s">
        <v>470</v>
      </c>
      <c r="B179" s="67">
        <f>(SUMIFS('Safeguard facility data'!BB$4:BB$312,'Safeguard facility data'!$A$4:$A$312,$A179,'Safeguard facility data'!BB$4:BB$312,"&gt;0"))-(SUMIFS('Safeguard facility data'!BI$4:BI$312,'Safeguard facility data'!$A$4:$A$312,$A179,'Safeguard facility data'!BI$4:BI$312,"&gt;0"))</f>
        <v>49520</v>
      </c>
      <c r="C179" s="67">
        <f>(SUMIFS('Safeguard facility data'!BC$4:BC$312,'Safeguard facility data'!$A$4:$A$312,$A179,'Safeguard facility data'!BC$4:BC$312,"&gt;0"))-(SUMIFS('Safeguard facility data'!BJ$4:BJ$312,'Safeguard facility data'!$A$4:$A$312,$A179,'Safeguard facility data'!BJ$4:BJ$312,"&gt;0"))</f>
        <v>36860</v>
      </c>
      <c r="D179" s="67">
        <f>(SUMIFS('Safeguard facility data'!BD$4:BD$312,'Safeguard facility data'!$A$4:$A$312,$A179,'Safeguard facility data'!BD$4:BD$312,"&gt;0"))-(SUMIFS('Safeguard facility data'!BK$4:BK$312,'Safeguard facility data'!$A$4:$A$312,$A179,'Safeguard facility data'!BK$4:BK$312,"&gt;0"))</f>
        <v>-4724</v>
      </c>
      <c r="E179" s="67">
        <f>(SUMIFS('Safeguard facility data'!BE$4:BE$312,'Safeguard facility data'!$A$4:$A$312,$A179,'Safeguard facility data'!BE$4:BE$312,"&gt;0"))-(SUMIFS('Safeguard facility data'!BL$4:BL$312,'Safeguard facility data'!$A$4:$A$312,$A179,'Safeguard facility data'!BL$4:BL$312,"&gt;0"))</f>
        <v>-8926</v>
      </c>
      <c r="F179" s="67">
        <f>(SUMIFS('Safeguard facility data'!BF$4:BF$312,'Safeguard facility data'!$A$4:$A$312,$A179,'Safeguard facility data'!BF$4:BF$312,"&gt;0"))-(SUMIFS('Safeguard facility data'!BM$4:BM$312,'Safeguard facility data'!$A$4:$A$312,$A179,'Safeguard facility data'!BM$4:BM$312,"&gt;0"))</f>
        <v>30314</v>
      </c>
      <c r="G179" s="67"/>
      <c r="H179" s="67"/>
      <c r="I179" s="67"/>
      <c r="J179" s="67"/>
      <c r="K179" s="67"/>
      <c r="L179" s="67"/>
      <c r="M179" s="67"/>
      <c r="N179" s="67"/>
      <c r="O179" s="67"/>
      <c r="P179" s="67"/>
      <c r="Q179" s="67"/>
    </row>
    <row r="180" spans="1:17">
      <c r="A180" s="87" t="s">
        <v>471</v>
      </c>
      <c r="B180" s="67">
        <f>(SUMIFS('Safeguard facility data'!BB$4:BB$312,'Safeguard facility data'!$A$4:$A$312,$A180,'Safeguard facility data'!BB$4:BB$312,"&gt;0"))-(SUMIFS('Safeguard facility data'!BI$4:BI$312,'Safeguard facility data'!$A$4:$A$312,$A180,'Safeguard facility data'!BI$4:BI$312,"&gt;0"))</f>
        <v>208038</v>
      </c>
      <c r="C180" s="67">
        <f>(SUMIFS('Safeguard facility data'!BC$4:BC$312,'Safeguard facility data'!$A$4:$A$312,$A180,'Safeguard facility data'!BC$4:BC$312,"&gt;0"))-(SUMIFS('Safeguard facility data'!BJ$4:BJ$312,'Safeguard facility data'!$A$4:$A$312,$A180,'Safeguard facility data'!BJ$4:BJ$312,"&gt;0"))</f>
        <v>208038</v>
      </c>
      <c r="D180" s="67">
        <f>(SUMIFS('Safeguard facility data'!BD$4:BD$312,'Safeguard facility data'!$A$4:$A$312,$A180,'Safeguard facility data'!BD$4:BD$312,"&gt;0"))-(SUMIFS('Safeguard facility data'!BK$4:BK$312,'Safeguard facility data'!$A$4:$A$312,$A180,'Safeguard facility data'!BK$4:BK$312,"&gt;0"))</f>
        <v>208038</v>
      </c>
      <c r="E180" s="67">
        <f>(SUMIFS('Safeguard facility data'!BE$4:BE$312,'Safeguard facility data'!$A$4:$A$312,$A180,'Safeguard facility data'!BE$4:BE$312,"&gt;0"))-(SUMIFS('Safeguard facility data'!BL$4:BL$312,'Safeguard facility data'!$A$4:$A$312,$A180,'Safeguard facility data'!BL$4:BL$312,"&gt;0"))</f>
        <v>112614</v>
      </c>
      <c r="F180" s="67">
        <f>(SUMIFS('Safeguard facility data'!BF$4:BF$312,'Safeguard facility data'!$A$4:$A$312,$A180,'Safeguard facility data'!BF$4:BF$312,"&gt;0"))-(SUMIFS('Safeguard facility data'!BM$4:BM$312,'Safeguard facility data'!$A$4:$A$312,$A180,'Safeguard facility data'!BM$4:BM$312,"&gt;0"))</f>
        <v>135150</v>
      </c>
      <c r="G180" s="67"/>
      <c r="H180" s="67"/>
      <c r="I180" s="67"/>
      <c r="J180" s="67"/>
      <c r="K180" s="67"/>
      <c r="L180" s="67"/>
      <c r="M180" s="67"/>
      <c r="N180" s="67"/>
      <c r="O180" s="67"/>
      <c r="P180" s="67"/>
      <c r="Q180" s="67"/>
    </row>
    <row r="181" spans="1:17">
      <c r="A181" s="87" t="s">
        <v>472</v>
      </c>
      <c r="B181" s="67">
        <f>(SUMIFS('Safeguard facility data'!BB$4:BB$312,'Safeguard facility data'!$A$4:$A$312,$A181,'Safeguard facility data'!BB$4:BB$312,"&gt;0"))-(SUMIFS('Safeguard facility data'!BI$4:BI$312,'Safeguard facility data'!$A$4:$A$312,$A181,'Safeguard facility data'!BI$4:BI$312,"&gt;0"))</f>
        <v>235957</v>
      </c>
      <c r="C181" s="67">
        <f>(SUMIFS('Safeguard facility data'!BC$4:BC$312,'Safeguard facility data'!$A$4:$A$312,$A181,'Safeguard facility data'!BC$4:BC$312,"&gt;0"))-(SUMIFS('Safeguard facility data'!BJ$4:BJ$312,'Safeguard facility data'!$A$4:$A$312,$A181,'Safeguard facility data'!BJ$4:BJ$312,"&gt;0"))</f>
        <v>235957</v>
      </c>
      <c r="D181" s="67">
        <f>(SUMIFS('Safeguard facility data'!BD$4:BD$312,'Safeguard facility data'!$A$4:$A$312,$A181,'Safeguard facility data'!BD$4:BD$312,"&gt;0"))-(SUMIFS('Safeguard facility data'!BK$4:BK$312,'Safeguard facility data'!$A$4:$A$312,$A181,'Safeguard facility data'!BK$4:BK$312,"&gt;0"))</f>
        <v>235957</v>
      </c>
      <c r="E181" s="67">
        <f>(SUMIFS('Safeguard facility data'!BE$4:BE$312,'Safeguard facility data'!$A$4:$A$312,$A181,'Safeguard facility data'!BE$4:BE$312,"&gt;0"))-(SUMIFS('Safeguard facility data'!BL$4:BL$312,'Safeguard facility data'!$A$4:$A$312,$A181,'Safeguard facility data'!BL$4:BL$312,"&gt;0"))</f>
        <v>40333</v>
      </c>
      <c r="F181" s="67">
        <f>(SUMIFS('Safeguard facility data'!BF$4:BF$312,'Safeguard facility data'!$A$4:$A$312,$A181,'Safeguard facility data'!BF$4:BF$312,"&gt;0"))-(SUMIFS('Safeguard facility data'!BM$4:BM$312,'Safeguard facility data'!$A$4:$A$312,$A181,'Safeguard facility data'!BM$4:BM$312,"&gt;0"))</f>
        <v>28052</v>
      </c>
      <c r="G181" s="67"/>
      <c r="H181" s="67"/>
      <c r="I181" s="67"/>
      <c r="J181" s="67"/>
      <c r="K181" s="67"/>
      <c r="L181" s="67"/>
      <c r="M181" s="67"/>
      <c r="N181" s="67"/>
      <c r="O181" s="67"/>
      <c r="P181" s="67"/>
      <c r="Q181" s="67"/>
    </row>
    <row r="182" spans="1:17">
      <c r="A182" s="87" t="s">
        <v>473</v>
      </c>
      <c r="B182" s="67">
        <f>(SUMIFS('Safeguard facility data'!BB$4:BB$312,'Safeguard facility data'!$A$4:$A$312,$A182,'Safeguard facility data'!BB$4:BB$312,"&gt;0"))-(SUMIFS('Safeguard facility data'!BI$4:BI$312,'Safeguard facility data'!$A$4:$A$312,$A182,'Safeguard facility data'!BI$4:BI$312,"&gt;0"))</f>
        <v>103467</v>
      </c>
      <c r="C182" s="67">
        <f>(SUMIFS('Safeguard facility data'!BC$4:BC$312,'Safeguard facility data'!$A$4:$A$312,$A182,'Safeguard facility data'!BC$4:BC$312,"&gt;0"))-(SUMIFS('Safeguard facility data'!BJ$4:BJ$312,'Safeguard facility data'!$A$4:$A$312,$A182,'Safeguard facility data'!BJ$4:BJ$312,"&gt;0"))</f>
        <v>129383</v>
      </c>
      <c r="D182" s="67">
        <f>(SUMIFS('Safeguard facility data'!BD$4:BD$312,'Safeguard facility data'!$A$4:$A$312,$A182,'Safeguard facility data'!BD$4:BD$312,"&gt;0"))-(SUMIFS('Safeguard facility data'!BK$4:BK$312,'Safeguard facility data'!$A$4:$A$312,$A182,'Safeguard facility data'!BK$4:BK$312,"&gt;0"))</f>
        <v>135862</v>
      </c>
      <c r="E182" s="67">
        <f>(SUMIFS('Safeguard facility data'!BE$4:BE$312,'Safeguard facility data'!$A$4:$A$312,$A182,'Safeguard facility data'!BE$4:BE$312,"&gt;0"))-(SUMIFS('Safeguard facility data'!BL$4:BL$312,'Safeguard facility data'!$A$4:$A$312,$A182,'Safeguard facility data'!BL$4:BL$312,"&gt;0"))</f>
        <v>131028</v>
      </c>
      <c r="F182" s="67">
        <f>(SUMIFS('Safeguard facility data'!BF$4:BF$312,'Safeguard facility data'!$A$4:$A$312,$A182,'Safeguard facility data'!BF$4:BF$312,"&gt;0"))-(SUMIFS('Safeguard facility data'!BM$4:BM$312,'Safeguard facility data'!$A$4:$A$312,$A182,'Safeguard facility data'!BM$4:BM$312,"&gt;0"))</f>
        <v>114261</v>
      </c>
      <c r="G182" s="67"/>
      <c r="H182" s="67"/>
      <c r="I182" s="67"/>
      <c r="J182" s="67"/>
      <c r="K182" s="67"/>
      <c r="L182" s="67"/>
      <c r="M182" s="67"/>
      <c r="N182" s="67"/>
      <c r="O182" s="67"/>
      <c r="P182" s="67"/>
      <c r="Q182" s="67"/>
    </row>
    <row r="183" spans="1:17">
      <c r="A183" s="87" t="s">
        <v>474</v>
      </c>
      <c r="B183" s="67">
        <f>(SUMIFS('Safeguard facility data'!BB$4:BB$312,'Safeguard facility data'!$A$4:$A$312,$A183,'Safeguard facility data'!BB$4:BB$312,"&gt;0"))-(SUMIFS('Safeguard facility data'!BI$4:BI$312,'Safeguard facility data'!$A$4:$A$312,$A183,'Safeguard facility data'!BI$4:BI$312,"&gt;0"))</f>
        <v>0</v>
      </c>
      <c r="C183" s="67">
        <f>(SUMIFS('Safeguard facility data'!BC$4:BC$312,'Safeguard facility data'!$A$4:$A$312,$A183,'Safeguard facility data'!BC$4:BC$312,"&gt;0"))-(SUMIFS('Safeguard facility data'!BJ$4:BJ$312,'Safeguard facility data'!$A$4:$A$312,$A183,'Safeguard facility data'!BJ$4:BJ$312,"&gt;0"))</f>
        <v>0</v>
      </c>
      <c r="D183" s="67">
        <f>(SUMIFS('Safeguard facility data'!BD$4:BD$312,'Safeguard facility data'!$A$4:$A$312,$A183,'Safeguard facility data'!BD$4:BD$312,"&gt;0"))-(SUMIFS('Safeguard facility data'!BK$4:BK$312,'Safeguard facility data'!$A$4:$A$312,$A183,'Safeguard facility data'!BK$4:BK$312,"&gt;0"))</f>
        <v>-17531</v>
      </c>
      <c r="E183" s="67">
        <f>(SUMIFS('Safeguard facility data'!BE$4:BE$312,'Safeguard facility data'!$A$4:$A$312,$A183,'Safeguard facility data'!BE$4:BE$312,"&gt;0"))-(SUMIFS('Safeguard facility data'!BL$4:BL$312,'Safeguard facility data'!$A$4:$A$312,$A183,'Safeguard facility data'!BL$4:BL$312,"&gt;0"))</f>
        <v>22118</v>
      </c>
      <c r="F183" s="67">
        <f>(SUMIFS('Safeguard facility data'!BF$4:BF$312,'Safeguard facility data'!$A$4:$A$312,$A183,'Safeguard facility data'!BF$4:BF$312,"&gt;0"))-(SUMIFS('Safeguard facility data'!BM$4:BM$312,'Safeguard facility data'!$A$4:$A$312,$A183,'Safeguard facility data'!BM$4:BM$312,"&gt;0"))</f>
        <v>46856</v>
      </c>
      <c r="G183" s="67"/>
      <c r="H183" s="67"/>
      <c r="I183" s="67"/>
      <c r="J183" s="67"/>
      <c r="K183" s="67"/>
      <c r="L183" s="67"/>
      <c r="M183" s="67"/>
      <c r="N183" s="67"/>
      <c r="O183" s="67"/>
      <c r="P183" s="67"/>
      <c r="Q183" s="67"/>
    </row>
    <row r="184" spans="1:17">
      <c r="A184" s="87" t="s">
        <v>475</v>
      </c>
      <c r="B184" s="67">
        <f>(SUMIFS('Safeguard facility data'!BB$4:BB$312,'Safeguard facility data'!$A$4:$A$312,$A184,'Safeguard facility data'!BB$4:BB$312,"&gt;0"))-(SUMIFS('Safeguard facility data'!BI$4:BI$312,'Safeguard facility data'!$A$4:$A$312,$A184,'Safeguard facility data'!BI$4:BI$312,"&gt;0"))</f>
        <v>272513</v>
      </c>
      <c r="C184" s="67">
        <f>(SUMIFS('Safeguard facility data'!BC$4:BC$312,'Safeguard facility data'!$A$4:$A$312,$A184,'Safeguard facility data'!BC$4:BC$312,"&gt;0"))-(SUMIFS('Safeguard facility data'!BJ$4:BJ$312,'Safeguard facility data'!$A$4:$A$312,$A184,'Safeguard facility data'!BJ$4:BJ$312,"&gt;0"))</f>
        <v>329681</v>
      </c>
      <c r="D184" s="67">
        <f>(SUMIFS('Safeguard facility data'!BD$4:BD$312,'Safeguard facility data'!$A$4:$A$312,$A184,'Safeguard facility data'!BD$4:BD$312,"&gt;0"))-(SUMIFS('Safeguard facility data'!BK$4:BK$312,'Safeguard facility data'!$A$4:$A$312,$A184,'Safeguard facility data'!BK$4:BK$312,"&gt;0"))</f>
        <v>244242</v>
      </c>
      <c r="E184" s="67">
        <f>(SUMIFS('Safeguard facility data'!BE$4:BE$312,'Safeguard facility data'!$A$4:$A$312,$A184,'Safeguard facility data'!BE$4:BE$312,"&gt;0"))-(SUMIFS('Safeguard facility data'!BL$4:BL$312,'Safeguard facility data'!$A$4:$A$312,$A184,'Safeguard facility data'!BL$4:BL$312,"&gt;0"))</f>
        <v>284468</v>
      </c>
      <c r="F184" s="67">
        <f>(SUMIFS('Safeguard facility data'!BF$4:BF$312,'Safeguard facility data'!$A$4:$A$312,$A184,'Safeguard facility data'!BF$4:BF$312,"&gt;0"))-(SUMIFS('Safeguard facility data'!BM$4:BM$312,'Safeguard facility data'!$A$4:$A$312,$A184,'Safeguard facility data'!BM$4:BM$312,"&gt;0"))</f>
        <v>546091</v>
      </c>
      <c r="G184" s="67"/>
      <c r="H184" s="67"/>
      <c r="I184" s="67"/>
      <c r="J184" s="67"/>
      <c r="K184" s="67"/>
      <c r="L184" s="67"/>
      <c r="M184" s="67"/>
      <c r="N184" s="67"/>
      <c r="O184" s="67"/>
      <c r="P184" s="67"/>
      <c r="Q184" s="67"/>
    </row>
    <row r="185" spans="1:17">
      <c r="A185" s="87" t="s">
        <v>476</v>
      </c>
      <c r="B185" s="67">
        <f>(SUMIFS('Safeguard facility data'!BB$4:BB$312,'Safeguard facility data'!$A$4:$A$312,$A185,'Safeguard facility data'!BB$4:BB$312,"&gt;0"))-(SUMIFS('Safeguard facility data'!BI$4:BI$312,'Safeguard facility data'!$A$4:$A$312,$A185,'Safeguard facility data'!BI$4:BI$312,"&gt;0"))</f>
        <v>4884</v>
      </c>
      <c r="C185" s="67">
        <f>(SUMIFS('Safeguard facility data'!BC$4:BC$312,'Safeguard facility data'!$A$4:$A$312,$A185,'Safeguard facility data'!BC$4:BC$312,"&gt;0"))-(SUMIFS('Safeguard facility data'!BJ$4:BJ$312,'Safeguard facility data'!$A$4:$A$312,$A185,'Safeguard facility data'!BJ$4:BJ$312,"&gt;0"))</f>
        <v>3159</v>
      </c>
      <c r="D185" s="67">
        <f>(SUMIFS('Safeguard facility data'!BD$4:BD$312,'Safeguard facility data'!$A$4:$A$312,$A185,'Safeguard facility data'!BD$4:BD$312,"&gt;0"))-(SUMIFS('Safeguard facility data'!BK$4:BK$312,'Safeguard facility data'!$A$4:$A$312,$A185,'Safeguard facility data'!BK$4:BK$312,"&gt;0"))</f>
        <v>5139</v>
      </c>
      <c r="E185" s="67">
        <f>(SUMIFS('Safeguard facility data'!BE$4:BE$312,'Safeguard facility data'!$A$4:$A$312,$A185,'Safeguard facility data'!BE$4:BE$312,"&gt;0"))-(SUMIFS('Safeguard facility data'!BL$4:BL$312,'Safeguard facility data'!$A$4:$A$312,$A185,'Safeguard facility data'!BL$4:BL$312,"&gt;0"))</f>
        <v>12850</v>
      </c>
      <c r="F185" s="67">
        <f>(SUMIFS('Safeguard facility data'!BF$4:BF$312,'Safeguard facility data'!$A$4:$A$312,$A185,'Safeguard facility data'!BF$4:BF$312,"&gt;0"))-(SUMIFS('Safeguard facility data'!BM$4:BM$312,'Safeguard facility data'!$A$4:$A$312,$A185,'Safeguard facility data'!BM$4:BM$312,"&gt;0"))</f>
        <v>8613</v>
      </c>
      <c r="G185" s="67"/>
      <c r="H185" s="67"/>
      <c r="I185" s="67"/>
      <c r="J185" s="67"/>
      <c r="K185" s="67"/>
      <c r="L185" s="67"/>
      <c r="M185" s="67"/>
      <c r="N185" s="67"/>
      <c r="O185" s="67"/>
      <c r="P185" s="67"/>
      <c r="Q185" s="67"/>
    </row>
    <row r="186" spans="1:17">
      <c r="A186" s="87" t="s">
        <v>477</v>
      </c>
      <c r="B186" s="67">
        <f>(SUMIFS('Safeguard facility data'!BB$4:BB$312,'Safeguard facility data'!$A$4:$A$312,$A186,'Safeguard facility data'!BB$4:BB$312,"&gt;0"))-(SUMIFS('Safeguard facility data'!BI$4:BI$312,'Safeguard facility data'!$A$4:$A$312,$A186,'Safeguard facility data'!BI$4:BI$312,"&gt;0"))</f>
        <v>18702</v>
      </c>
      <c r="C186" s="67">
        <f>(SUMIFS('Safeguard facility data'!BC$4:BC$312,'Safeguard facility data'!$A$4:$A$312,$A186,'Safeguard facility data'!BC$4:BC$312,"&gt;0"))-(SUMIFS('Safeguard facility data'!BJ$4:BJ$312,'Safeguard facility data'!$A$4:$A$312,$A186,'Safeguard facility data'!BJ$4:BJ$312,"&gt;0"))</f>
        <v>19639</v>
      </c>
      <c r="D186" s="67">
        <f>(SUMIFS('Safeguard facility data'!BD$4:BD$312,'Safeguard facility data'!$A$4:$A$312,$A186,'Safeguard facility data'!BD$4:BD$312,"&gt;0"))-(SUMIFS('Safeguard facility data'!BK$4:BK$312,'Safeguard facility data'!$A$4:$A$312,$A186,'Safeguard facility data'!BK$4:BK$312,"&gt;0"))</f>
        <v>17155</v>
      </c>
      <c r="E186" s="67">
        <f>(SUMIFS('Safeguard facility data'!BE$4:BE$312,'Safeguard facility data'!$A$4:$A$312,$A186,'Safeguard facility data'!BE$4:BE$312,"&gt;0"))-(SUMIFS('Safeguard facility data'!BL$4:BL$312,'Safeguard facility data'!$A$4:$A$312,$A186,'Safeguard facility data'!BL$4:BL$312,"&gt;0"))</f>
        <v>24640</v>
      </c>
      <c r="F186" s="67">
        <f>(SUMIFS('Safeguard facility data'!BF$4:BF$312,'Safeguard facility data'!$A$4:$A$312,$A186,'Safeguard facility data'!BF$4:BF$312,"&gt;0"))-(SUMIFS('Safeguard facility data'!BM$4:BM$312,'Safeguard facility data'!$A$4:$A$312,$A186,'Safeguard facility data'!BM$4:BM$312,"&gt;0"))</f>
        <v>5770</v>
      </c>
      <c r="G186" s="67"/>
      <c r="H186" s="67"/>
      <c r="I186" s="67"/>
      <c r="J186" s="67"/>
      <c r="K186" s="67"/>
      <c r="L186" s="67"/>
      <c r="M186" s="67"/>
      <c r="N186" s="67"/>
      <c r="O186" s="67"/>
      <c r="P186" s="67"/>
      <c r="Q186" s="67"/>
    </row>
    <row r="187" spans="1:17">
      <c r="A187" s="87" t="s">
        <v>478</v>
      </c>
      <c r="B187" s="67">
        <f>(SUMIFS('Safeguard facility data'!BB$4:BB$312,'Safeguard facility data'!$A$4:$A$312,$A187,'Safeguard facility data'!BB$4:BB$312,"&gt;0"))-(SUMIFS('Safeguard facility data'!BI$4:BI$312,'Safeguard facility data'!$A$4:$A$312,$A187,'Safeguard facility data'!BI$4:BI$312,"&gt;0"))</f>
        <v>152368</v>
      </c>
      <c r="C187" s="67">
        <f>(SUMIFS('Safeguard facility data'!BC$4:BC$312,'Safeguard facility data'!$A$4:$A$312,$A187,'Safeguard facility data'!BC$4:BC$312,"&gt;0"))-(SUMIFS('Safeguard facility data'!BJ$4:BJ$312,'Safeguard facility data'!$A$4:$A$312,$A187,'Safeguard facility data'!BJ$4:BJ$312,"&gt;0"))</f>
        <v>152368</v>
      </c>
      <c r="D187" s="67">
        <f>(SUMIFS('Safeguard facility data'!BD$4:BD$312,'Safeguard facility data'!$A$4:$A$312,$A187,'Safeguard facility data'!BD$4:BD$312,"&gt;0"))-(SUMIFS('Safeguard facility data'!BK$4:BK$312,'Safeguard facility data'!$A$4:$A$312,$A187,'Safeguard facility data'!BK$4:BK$312,"&gt;0"))</f>
        <v>152368</v>
      </c>
      <c r="E187" s="67">
        <f>(SUMIFS('Safeguard facility data'!BE$4:BE$312,'Safeguard facility data'!$A$4:$A$312,$A187,'Safeguard facility data'!BE$4:BE$312,"&gt;0"))-(SUMIFS('Safeguard facility data'!BL$4:BL$312,'Safeguard facility data'!$A$4:$A$312,$A187,'Safeguard facility data'!BL$4:BL$312,"&gt;0"))</f>
        <v>29539</v>
      </c>
      <c r="F187" s="67">
        <f>(SUMIFS('Safeguard facility data'!BF$4:BF$312,'Safeguard facility data'!$A$4:$A$312,$A187,'Safeguard facility data'!BF$4:BF$312,"&gt;0"))-(SUMIFS('Safeguard facility data'!BM$4:BM$312,'Safeguard facility data'!$A$4:$A$312,$A187,'Safeguard facility data'!BM$4:BM$312,"&gt;0"))</f>
        <v>29328</v>
      </c>
      <c r="G187" s="67"/>
      <c r="H187" s="67"/>
      <c r="I187" s="67"/>
      <c r="J187" s="67"/>
      <c r="K187" s="67"/>
      <c r="L187" s="67"/>
      <c r="M187" s="67"/>
      <c r="N187" s="67"/>
      <c r="O187" s="67"/>
      <c r="P187" s="67"/>
      <c r="Q187" s="67"/>
    </row>
    <row r="188" spans="1:17">
      <c r="A188" s="87" t="s">
        <v>479</v>
      </c>
      <c r="B188" s="67">
        <f>(SUMIFS('Safeguard facility data'!BB$4:BB$312,'Safeguard facility data'!$A$4:$A$312,$A188,'Safeguard facility data'!BB$4:BB$312,"&gt;0"))-(SUMIFS('Safeguard facility data'!BI$4:BI$312,'Safeguard facility data'!$A$4:$A$312,$A188,'Safeguard facility data'!BI$4:BI$312,"&gt;0"))</f>
        <v>8641</v>
      </c>
      <c r="C188" s="67">
        <f>(SUMIFS('Safeguard facility data'!BC$4:BC$312,'Safeguard facility data'!$A$4:$A$312,$A188,'Safeguard facility data'!BC$4:BC$312,"&gt;0"))-(SUMIFS('Safeguard facility data'!BJ$4:BJ$312,'Safeguard facility data'!$A$4:$A$312,$A188,'Safeguard facility data'!BJ$4:BJ$312,"&gt;0"))</f>
        <v>19100</v>
      </c>
      <c r="D188" s="67">
        <f>(SUMIFS('Safeguard facility data'!BD$4:BD$312,'Safeguard facility data'!$A$4:$A$312,$A188,'Safeguard facility data'!BD$4:BD$312,"&gt;0"))-(SUMIFS('Safeguard facility data'!BK$4:BK$312,'Safeguard facility data'!$A$4:$A$312,$A188,'Safeguard facility data'!BK$4:BK$312,"&gt;0"))</f>
        <v>30131</v>
      </c>
      <c r="E188" s="67">
        <f>(SUMIFS('Safeguard facility data'!BE$4:BE$312,'Safeguard facility data'!$A$4:$A$312,$A188,'Safeguard facility data'!BE$4:BE$312,"&gt;0"))-(SUMIFS('Safeguard facility data'!BL$4:BL$312,'Safeguard facility data'!$A$4:$A$312,$A188,'Safeguard facility data'!BL$4:BL$312,"&gt;0"))</f>
        <v>46456</v>
      </c>
      <c r="F188" s="67">
        <f>(SUMIFS('Safeguard facility data'!BF$4:BF$312,'Safeguard facility data'!$A$4:$A$312,$A188,'Safeguard facility data'!BF$4:BF$312,"&gt;0"))-(SUMIFS('Safeguard facility data'!BM$4:BM$312,'Safeguard facility data'!$A$4:$A$312,$A188,'Safeguard facility data'!BM$4:BM$312,"&gt;0"))</f>
        <v>22763</v>
      </c>
      <c r="G188" s="67"/>
      <c r="H188" s="67"/>
      <c r="I188" s="67"/>
      <c r="J188" s="67"/>
      <c r="K188" s="67"/>
      <c r="L188" s="67"/>
      <c r="M188" s="67"/>
      <c r="N188" s="67"/>
      <c r="O188" s="67"/>
      <c r="P188" s="67"/>
      <c r="Q188" s="67"/>
    </row>
    <row r="189" spans="1:17">
      <c r="A189" s="87" t="s">
        <v>480</v>
      </c>
      <c r="B189" s="67">
        <f>(SUMIFS('Safeguard facility data'!BB$4:BB$312,'Safeguard facility data'!$A$4:$A$312,$A189,'Safeguard facility data'!BB$4:BB$312,"&gt;0"))-(SUMIFS('Safeguard facility data'!BI$4:BI$312,'Safeguard facility data'!$A$4:$A$312,$A189,'Safeguard facility data'!BI$4:BI$312,"&gt;0"))</f>
        <v>494232</v>
      </c>
      <c r="C189" s="67">
        <f>(SUMIFS('Safeguard facility data'!BC$4:BC$312,'Safeguard facility data'!$A$4:$A$312,$A189,'Safeguard facility data'!BC$4:BC$312,"&gt;0"))-(SUMIFS('Safeguard facility data'!BJ$4:BJ$312,'Safeguard facility data'!$A$4:$A$312,$A189,'Safeguard facility data'!BJ$4:BJ$312,"&gt;0"))</f>
        <v>58692</v>
      </c>
      <c r="D189" s="67">
        <f>(SUMIFS('Safeguard facility data'!BD$4:BD$312,'Safeguard facility data'!$A$4:$A$312,$A189,'Safeguard facility data'!BD$4:BD$312,"&gt;0"))-(SUMIFS('Safeguard facility data'!BK$4:BK$312,'Safeguard facility data'!$A$4:$A$312,$A189,'Safeguard facility data'!BK$4:BK$312,"&gt;0"))</f>
        <v>931312</v>
      </c>
      <c r="E189" s="67">
        <f>(SUMIFS('Safeguard facility data'!BE$4:BE$312,'Safeguard facility data'!$A$4:$A$312,$A189,'Safeguard facility data'!BE$4:BE$312,"&gt;0"))-(SUMIFS('Safeguard facility data'!BL$4:BL$312,'Safeguard facility data'!$A$4:$A$312,$A189,'Safeguard facility data'!BL$4:BL$312,"&gt;0"))</f>
        <v>1265666</v>
      </c>
      <c r="F189" s="67">
        <f>(SUMIFS('Safeguard facility data'!BF$4:BF$312,'Safeguard facility data'!$A$4:$A$312,$A189,'Safeguard facility data'!BF$4:BF$312,"&gt;0"))-(SUMIFS('Safeguard facility data'!BM$4:BM$312,'Safeguard facility data'!$A$4:$A$312,$A189,'Safeguard facility data'!BM$4:BM$312,"&gt;0"))</f>
        <v>31224</v>
      </c>
      <c r="G189" s="67"/>
      <c r="H189" s="67"/>
      <c r="I189" s="67"/>
      <c r="J189" s="67"/>
      <c r="K189" s="67"/>
      <c r="L189" s="67"/>
      <c r="M189" s="67"/>
      <c r="N189" s="67"/>
      <c r="O189" s="67"/>
      <c r="P189" s="67"/>
      <c r="Q189" s="67"/>
    </row>
    <row r="190" spans="1:17">
      <c r="A190" s="87" t="s">
        <v>481</v>
      </c>
      <c r="B190" s="67">
        <f>(SUMIFS('Safeguard facility data'!BB$4:BB$312,'Safeguard facility data'!$A$4:$A$312,$A190,'Safeguard facility data'!BB$4:BB$312,"&gt;0"))-(SUMIFS('Safeguard facility data'!BI$4:BI$312,'Safeguard facility data'!$A$4:$A$312,$A190,'Safeguard facility data'!BI$4:BI$312,"&gt;0"))</f>
        <v>-86812</v>
      </c>
      <c r="C190" s="67">
        <f>(SUMIFS('Safeguard facility data'!BC$4:BC$312,'Safeguard facility data'!$A$4:$A$312,$A190,'Safeguard facility data'!BC$4:BC$312,"&gt;0"))-(SUMIFS('Safeguard facility data'!BJ$4:BJ$312,'Safeguard facility data'!$A$4:$A$312,$A190,'Safeguard facility data'!BJ$4:BJ$312,"&gt;0"))</f>
        <v>-74522</v>
      </c>
      <c r="D190" s="67">
        <f>(SUMIFS('Safeguard facility data'!BD$4:BD$312,'Safeguard facility data'!$A$4:$A$312,$A190,'Safeguard facility data'!BD$4:BD$312,"&gt;0"))-(SUMIFS('Safeguard facility data'!BK$4:BK$312,'Safeguard facility data'!$A$4:$A$312,$A190,'Safeguard facility data'!BK$4:BK$312,"&gt;0"))</f>
        <v>183889</v>
      </c>
      <c r="E190" s="67">
        <f>(SUMIFS('Safeguard facility data'!BE$4:BE$312,'Safeguard facility data'!$A$4:$A$312,$A190,'Safeguard facility data'!BE$4:BE$312,"&gt;0"))-(SUMIFS('Safeguard facility data'!BL$4:BL$312,'Safeguard facility data'!$A$4:$A$312,$A190,'Safeguard facility data'!BL$4:BL$312,"&gt;0"))</f>
        <v>692923</v>
      </c>
      <c r="F190" s="67">
        <f>(SUMIFS('Safeguard facility data'!BF$4:BF$312,'Safeguard facility data'!$A$4:$A$312,$A190,'Safeguard facility data'!BF$4:BF$312,"&gt;0"))-(SUMIFS('Safeguard facility data'!BM$4:BM$312,'Safeguard facility data'!$A$4:$A$312,$A190,'Safeguard facility data'!BM$4:BM$312,"&gt;0"))</f>
        <v>-186678</v>
      </c>
      <c r="G190" s="67"/>
      <c r="H190" s="67"/>
      <c r="I190" s="67"/>
      <c r="J190" s="67"/>
      <c r="K190" s="67"/>
      <c r="L190" s="67"/>
      <c r="M190" s="67"/>
      <c r="N190" s="67"/>
      <c r="O190" s="67"/>
      <c r="P190" s="67"/>
      <c r="Q190" s="67"/>
    </row>
    <row r="191" spans="1:17">
      <c r="A191" s="87" t="s">
        <v>482</v>
      </c>
      <c r="B191" s="67">
        <f>(SUMIFS('Safeguard facility data'!BB$4:BB$312,'Safeguard facility data'!$A$4:$A$312,$A191,'Safeguard facility data'!BB$4:BB$312,"&gt;0"))-(SUMIFS('Safeguard facility data'!BI$4:BI$312,'Safeguard facility data'!$A$4:$A$312,$A191,'Safeguard facility data'!BI$4:BI$312,"&gt;0"))</f>
        <v>-15473</v>
      </c>
      <c r="C191" s="67">
        <f>(SUMIFS('Safeguard facility data'!BC$4:BC$312,'Safeguard facility data'!$A$4:$A$312,$A191,'Safeguard facility data'!BC$4:BC$312,"&gt;0"))-(SUMIFS('Safeguard facility data'!BJ$4:BJ$312,'Safeguard facility data'!$A$4:$A$312,$A191,'Safeguard facility data'!BJ$4:BJ$312,"&gt;0"))</f>
        <v>42002</v>
      </c>
      <c r="D191" s="67">
        <f>(SUMIFS('Safeguard facility data'!BD$4:BD$312,'Safeguard facility data'!$A$4:$A$312,$A191,'Safeguard facility data'!BD$4:BD$312,"&gt;0"))-(SUMIFS('Safeguard facility data'!BK$4:BK$312,'Safeguard facility data'!$A$4:$A$312,$A191,'Safeguard facility data'!BK$4:BK$312,"&gt;0"))</f>
        <v>50446</v>
      </c>
      <c r="E191" s="67">
        <f>(SUMIFS('Safeguard facility data'!BE$4:BE$312,'Safeguard facility data'!$A$4:$A$312,$A191,'Safeguard facility data'!BE$4:BE$312,"&gt;0"))-(SUMIFS('Safeguard facility data'!BL$4:BL$312,'Safeguard facility data'!$A$4:$A$312,$A191,'Safeguard facility data'!BL$4:BL$312,"&gt;0"))</f>
        <v>193243</v>
      </c>
      <c r="F191" s="67">
        <f>(SUMIFS('Safeguard facility data'!BF$4:BF$312,'Safeguard facility data'!$A$4:$A$312,$A191,'Safeguard facility data'!BF$4:BF$312,"&gt;0"))-(SUMIFS('Safeguard facility data'!BM$4:BM$312,'Safeguard facility data'!$A$4:$A$312,$A191,'Safeguard facility data'!BM$4:BM$312,"&gt;0"))</f>
        <v>0</v>
      </c>
      <c r="G191" s="67"/>
      <c r="H191" s="67"/>
      <c r="I191" s="67"/>
      <c r="J191" s="67"/>
      <c r="K191" s="67"/>
      <c r="L191" s="67"/>
      <c r="M191" s="67"/>
      <c r="N191" s="67"/>
      <c r="O191" s="67"/>
      <c r="P191" s="67"/>
      <c r="Q191" s="67"/>
    </row>
    <row r="192" spans="1:17">
      <c r="A192" s="87" t="s">
        <v>483</v>
      </c>
      <c r="B192" s="67">
        <f>(SUMIFS('Safeguard facility data'!BB$4:BB$312,'Safeguard facility data'!$A$4:$A$312,$A192,'Safeguard facility data'!BB$4:BB$312,"&gt;0"))-(SUMIFS('Safeguard facility data'!BI$4:BI$312,'Safeguard facility data'!$A$4:$A$312,$A192,'Safeguard facility data'!BI$4:BI$312,"&gt;0"))</f>
        <v>100000</v>
      </c>
      <c r="C192" s="67">
        <f>(SUMIFS('Safeguard facility data'!BC$4:BC$312,'Safeguard facility data'!$A$4:$A$312,$A192,'Safeguard facility data'!BC$4:BC$312,"&gt;0"))-(SUMIFS('Safeguard facility data'!BJ$4:BJ$312,'Safeguard facility data'!$A$4:$A$312,$A192,'Safeguard facility data'!BJ$4:BJ$312,"&gt;0"))</f>
        <v>100000</v>
      </c>
      <c r="D192" s="67">
        <f>(SUMIFS('Safeguard facility data'!BD$4:BD$312,'Safeguard facility data'!$A$4:$A$312,$A192,'Safeguard facility data'!BD$4:BD$312,"&gt;0"))-(SUMIFS('Safeguard facility data'!BK$4:BK$312,'Safeguard facility data'!$A$4:$A$312,$A192,'Safeguard facility data'!BK$4:BK$312,"&gt;0"))</f>
        <v>100000</v>
      </c>
      <c r="E192" s="67">
        <f>(SUMIFS('Safeguard facility data'!BE$4:BE$312,'Safeguard facility data'!$A$4:$A$312,$A192,'Safeguard facility data'!BE$4:BE$312,"&gt;0"))-(SUMIFS('Safeguard facility data'!BL$4:BL$312,'Safeguard facility data'!$A$4:$A$312,$A192,'Safeguard facility data'!BL$4:BL$312,"&gt;0"))</f>
        <v>100000</v>
      </c>
      <c r="F192" s="67">
        <f>(SUMIFS('Safeguard facility data'!BF$4:BF$312,'Safeguard facility data'!$A$4:$A$312,$A192,'Safeguard facility data'!BF$4:BF$312,"&gt;0"))-(SUMIFS('Safeguard facility data'!BM$4:BM$312,'Safeguard facility data'!$A$4:$A$312,$A192,'Safeguard facility data'!BM$4:BM$312,"&gt;0"))</f>
        <v>100000</v>
      </c>
      <c r="G192" s="67"/>
      <c r="H192" s="67"/>
      <c r="I192" s="67"/>
      <c r="J192" s="67"/>
      <c r="K192" s="67"/>
      <c r="L192" s="67"/>
      <c r="M192" s="67"/>
      <c r="N192" s="67"/>
      <c r="O192" s="67"/>
      <c r="P192" s="67"/>
      <c r="Q192" s="67"/>
    </row>
    <row r="193" spans="1:17">
      <c r="A193" s="87" t="s">
        <v>484</v>
      </c>
      <c r="B193" s="67">
        <f>(SUMIFS('Safeguard facility data'!BB$4:BB$312,'Safeguard facility data'!$A$4:$A$312,$A193,'Safeguard facility data'!BB$4:BB$312,"&gt;0"))-(SUMIFS('Safeguard facility data'!BI$4:BI$312,'Safeguard facility data'!$A$4:$A$312,$A193,'Safeguard facility data'!BI$4:BI$312,"&gt;0"))</f>
        <v>89116</v>
      </c>
      <c r="C193" s="67">
        <f>(SUMIFS('Safeguard facility data'!BC$4:BC$312,'Safeguard facility data'!$A$4:$A$312,$A193,'Safeguard facility data'!BC$4:BC$312,"&gt;0"))-(SUMIFS('Safeguard facility data'!BJ$4:BJ$312,'Safeguard facility data'!$A$4:$A$312,$A193,'Safeguard facility data'!BJ$4:BJ$312,"&gt;0"))</f>
        <v>64461</v>
      </c>
      <c r="D193" s="67">
        <f>(SUMIFS('Safeguard facility data'!BD$4:BD$312,'Safeguard facility data'!$A$4:$A$312,$A193,'Safeguard facility data'!BD$4:BD$312,"&gt;0"))-(SUMIFS('Safeguard facility data'!BK$4:BK$312,'Safeguard facility data'!$A$4:$A$312,$A193,'Safeguard facility data'!BK$4:BK$312,"&gt;0"))</f>
        <v>39668</v>
      </c>
      <c r="E193" s="67">
        <f>(SUMIFS('Safeguard facility data'!BE$4:BE$312,'Safeguard facility data'!$A$4:$A$312,$A193,'Safeguard facility data'!BE$4:BE$312,"&gt;0"))-(SUMIFS('Safeguard facility data'!BL$4:BL$312,'Safeguard facility data'!$A$4:$A$312,$A193,'Safeguard facility data'!BL$4:BL$312,"&gt;0"))</f>
        <v>125234</v>
      </c>
      <c r="F193" s="67">
        <f>(SUMIFS('Safeguard facility data'!BF$4:BF$312,'Safeguard facility data'!$A$4:$A$312,$A193,'Safeguard facility data'!BF$4:BF$312,"&gt;0"))-(SUMIFS('Safeguard facility data'!BM$4:BM$312,'Safeguard facility data'!$A$4:$A$312,$A193,'Safeguard facility data'!BM$4:BM$312,"&gt;0"))</f>
        <v>115340</v>
      </c>
      <c r="G193" s="67"/>
      <c r="H193" s="67"/>
      <c r="I193" s="67"/>
      <c r="J193" s="67"/>
      <c r="K193" s="67"/>
      <c r="L193" s="67"/>
      <c r="M193" s="67"/>
      <c r="N193" s="67"/>
      <c r="O193" s="67"/>
      <c r="P193" s="67"/>
      <c r="Q193" s="67"/>
    </row>
    <row r="194" spans="1:17">
      <c r="A194" s="87" t="s">
        <v>485</v>
      </c>
      <c r="B194" s="67">
        <f>(SUMIFS('Safeguard facility data'!BB$4:BB$312,'Safeguard facility data'!$A$4:$A$312,$A194,'Safeguard facility data'!BB$4:BB$312,"&gt;0"))-(SUMIFS('Safeguard facility data'!BI$4:BI$312,'Safeguard facility data'!$A$4:$A$312,$A194,'Safeguard facility data'!BI$4:BI$312,"&gt;0"))</f>
        <v>-5767</v>
      </c>
      <c r="C194" s="67">
        <f>(SUMIFS('Safeguard facility data'!BC$4:BC$312,'Safeguard facility data'!$A$4:$A$312,$A194,'Safeguard facility data'!BC$4:BC$312,"&gt;0"))-(SUMIFS('Safeguard facility data'!BJ$4:BJ$312,'Safeguard facility data'!$A$4:$A$312,$A194,'Safeguard facility data'!BJ$4:BJ$312,"&gt;0"))</f>
        <v>-1268</v>
      </c>
      <c r="D194" s="67">
        <f>(SUMIFS('Safeguard facility data'!BD$4:BD$312,'Safeguard facility data'!$A$4:$A$312,$A194,'Safeguard facility data'!BD$4:BD$312,"&gt;0"))-(SUMIFS('Safeguard facility data'!BK$4:BK$312,'Safeguard facility data'!$A$4:$A$312,$A194,'Safeguard facility data'!BK$4:BK$312,"&gt;0"))</f>
        <v>211132</v>
      </c>
      <c r="E194" s="67">
        <f>(SUMIFS('Safeguard facility data'!BE$4:BE$312,'Safeguard facility data'!$A$4:$A$312,$A194,'Safeguard facility data'!BE$4:BE$312,"&gt;0"))-(SUMIFS('Safeguard facility data'!BL$4:BL$312,'Safeguard facility data'!$A$4:$A$312,$A194,'Safeguard facility data'!BL$4:BL$312,"&gt;0"))</f>
        <v>316536</v>
      </c>
      <c r="F194" s="67">
        <f>(SUMIFS('Safeguard facility data'!BF$4:BF$312,'Safeguard facility data'!$A$4:$A$312,$A194,'Safeguard facility data'!BF$4:BF$312,"&gt;0"))-(SUMIFS('Safeguard facility data'!BM$4:BM$312,'Safeguard facility data'!$A$4:$A$312,$A194,'Safeguard facility data'!BM$4:BM$312,"&gt;0"))</f>
        <v>608982</v>
      </c>
      <c r="G194" s="67"/>
      <c r="H194" s="67"/>
      <c r="I194" s="67"/>
      <c r="J194" s="67"/>
      <c r="K194" s="67"/>
      <c r="L194" s="67"/>
      <c r="M194" s="67"/>
      <c r="N194" s="67"/>
      <c r="O194" s="67"/>
      <c r="P194" s="67"/>
      <c r="Q194" s="67"/>
    </row>
    <row r="195" spans="1:17">
      <c r="A195" s="87" t="s">
        <v>486</v>
      </c>
      <c r="B195" s="67">
        <f>(SUMIFS('Safeguard facility data'!BB$4:BB$312,'Safeguard facility data'!$A$4:$A$312,$A195,'Safeguard facility data'!BB$4:BB$312,"&gt;0"))-(SUMIFS('Safeguard facility data'!BI$4:BI$312,'Safeguard facility data'!$A$4:$A$312,$A195,'Safeguard facility data'!BI$4:BI$312,"&gt;0"))</f>
        <v>0</v>
      </c>
      <c r="C195" s="67">
        <f>(SUMIFS('Safeguard facility data'!BC$4:BC$312,'Safeguard facility data'!$A$4:$A$312,$A195,'Safeguard facility data'!BC$4:BC$312,"&gt;0"))-(SUMIFS('Safeguard facility data'!BJ$4:BJ$312,'Safeguard facility data'!$A$4:$A$312,$A195,'Safeguard facility data'!BJ$4:BJ$312,"&gt;0"))</f>
        <v>0</v>
      </c>
      <c r="D195" s="67">
        <f>(SUMIFS('Safeguard facility data'!BD$4:BD$312,'Safeguard facility data'!$A$4:$A$312,$A195,'Safeguard facility data'!BD$4:BD$312,"&gt;0"))-(SUMIFS('Safeguard facility data'!BK$4:BK$312,'Safeguard facility data'!$A$4:$A$312,$A195,'Safeguard facility data'!BK$4:BK$312,"&gt;0"))</f>
        <v>0</v>
      </c>
      <c r="E195" s="67">
        <f>(SUMIFS('Safeguard facility data'!BE$4:BE$312,'Safeguard facility data'!$A$4:$A$312,$A195,'Safeguard facility data'!BE$4:BE$312,"&gt;0"))-(SUMIFS('Safeguard facility data'!BL$4:BL$312,'Safeguard facility data'!$A$4:$A$312,$A195,'Safeguard facility data'!BL$4:BL$312,"&gt;0"))</f>
        <v>0</v>
      </c>
      <c r="F195" s="67">
        <f>(SUMIFS('Safeguard facility data'!BF$4:BF$312,'Safeguard facility data'!$A$4:$A$312,$A195,'Safeguard facility data'!BF$4:BF$312,"&gt;0"))-(SUMIFS('Safeguard facility data'!BM$4:BM$312,'Safeguard facility data'!$A$4:$A$312,$A195,'Safeguard facility data'!BM$4:BM$312,"&gt;0"))</f>
        <v>204115</v>
      </c>
      <c r="G195" s="67"/>
      <c r="H195" s="67"/>
      <c r="I195" s="67"/>
      <c r="J195" s="67"/>
      <c r="K195" s="67"/>
      <c r="L195" s="67"/>
      <c r="M195" s="67"/>
      <c r="N195" s="67"/>
      <c r="O195" s="67"/>
      <c r="P195" s="67"/>
      <c r="Q195" s="67"/>
    </row>
    <row r="196" spans="1:17">
      <c r="A196" s="87" t="s">
        <v>487</v>
      </c>
      <c r="B196" s="67">
        <f>(SUMIFS('Safeguard facility data'!BB$4:BB$312,'Safeguard facility data'!$A$4:$A$312,$A196,'Safeguard facility data'!BB$4:BB$312,"&gt;0"))-(SUMIFS('Safeguard facility data'!BI$4:BI$312,'Safeguard facility data'!$A$4:$A$312,$A196,'Safeguard facility data'!BI$4:BI$312,"&gt;0"))</f>
        <v>149986</v>
      </c>
      <c r="C196" s="67">
        <f>(SUMIFS('Safeguard facility data'!BC$4:BC$312,'Safeguard facility data'!$A$4:$A$312,$A196,'Safeguard facility data'!BC$4:BC$312,"&gt;0"))-(SUMIFS('Safeguard facility data'!BJ$4:BJ$312,'Safeguard facility data'!$A$4:$A$312,$A196,'Safeguard facility data'!BJ$4:BJ$312,"&gt;0"))</f>
        <v>149986</v>
      </c>
      <c r="D196" s="67">
        <f>(SUMIFS('Safeguard facility data'!BD$4:BD$312,'Safeguard facility data'!$A$4:$A$312,$A196,'Safeguard facility data'!BD$4:BD$312,"&gt;0"))-(SUMIFS('Safeguard facility data'!BK$4:BK$312,'Safeguard facility data'!$A$4:$A$312,$A196,'Safeguard facility data'!BK$4:BK$312,"&gt;0"))</f>
        <v>149986</v>
      </c>
      <c r="E196" s="67">
        <f>(SUMIFS('Safeguard facility data'!BE$4:BE$312,'Safeguard facility data'!$A$4:$A$312,$A196,'Safeguard facility data'!BE$4:BE$312,"&gt;0"))-(SUMIFS('Safeguard facility data'!BL$4:BL$312,'Safeguard facility data'!$A$4:$A$312,$A196,'Safeguard facility data'!BL$4:BL$312,"&gt;0"))</f>
        <v>149986</v>
      </c>
      <c r="F196" s="67">
        <f>(SUMIFS('Safeguard facility data'!BF$4:BF$312,'Safeguard facility data'!$A$4:$A$312,$A196,'Safeguard facility data'!BF$4:BF$312,"&gt;0"))-(SUMIFS('Safeguard facility data'!BM$4:BM$312,'Safeguard facility data'!$A$4:$A$312,$A196,'Safeguard facility data'!BM$4:BM$312,"&gt;0"))</f>
        <v>149986</v>
      </c>
      <c r="G196" s="67"/>
      <c r="H196" s="67"/>
      <c r="I196" s="67"/>
      <c r="J196" s="67"/>
      <c r="K196" s="67"/>
      <c r="L196" s="67"/>
      <c r="M196" s="67"/>
      <c r="N196" s="67"/>
      <c r="O196" s="67"/>
      <c r="P196" s="67"/>
      <c r="Q196" s="67"/>
    </row>
    <row r="197" spans="1:17">
      <c r="A197" s="87" t="s">
        <v>488</v>
      </c>
      <c r="B197" s="67">
        <f>(SUMIFS('Safeguard facility data'!BB$4:BB$312,'Safeguard facility data'!$A$4:$A$312,$A197,'Safeguard facility data'!BB$4:BB$312,"&gt;0"))-(SUMIFS('Safeguard facility data'!BI$4:BI$312,'Safeguard facility data'!$A$4:$A$312,$A197,'Safeguard facility data'!BI$4:BI$312,"&gt;0"))</f>
        <v>805896</v>
      </c>
      <c r="C197" s="67">
        <f>(SUMIFS('Safeguard facility data'!BC$4:BC$312,'Safeguard facility data'!$A$4:$A$312,$A197,'Safeguard facility data'!BC$4:BC$312,"&gt;0"))-(SUMIFS('Safeguard facility data'!BJ$4:BJ$312,'Safeguard facility data'!$A$4:$A$312,$A197,'Safeguard facility data'!BJ$4:BJ$312,"&gt;0"))</f>
        <v>1187627</v>
      </c>
      <c r="D197" s="67">
        <f>(SUMIFS('Safeguard facility data'!BD$4:BD$312,'Safeguard facility data'!$A$4:$A$312,$A197,'Safeguard facility data'!BD$4:BD$312,"&gt;0"))-(SUMIFS('Safeguard facility data'!BK$4:BK$312,'Safeguard facility data'!$A$4:$A$312,$A197,'Safeguard facility data'!BK$4:BK$312,"&gt;0"))</f>
        <v>1098383</v>
      </c>
      <c r="E197" s="67">
        <f>(SUMIFS('Safeguard facility data'!BE$4:BE$312,'Safeguard facility data'!$A$4:$A$312,$A197,'Safeguard facility data'!BE$4:BE$312,"&gt;0"))-(SUMIFS('Safeguard facility data'!BL$4:BL$312,'Safeguard facility data'!$A$4:$A$312,$A197,'Safeguard facility data'!BL$4:BL$312,"&gt;0"))</f>
        <v>1008098</v>
      </c>
      <c r="F197" s="67">
        <f>(SUMIFS('Safeguard facility data'!BF$4:BF$312,'Safeguard facility data'!$A$4:$A$312,$A197,'Safeguard facility data'!BF$4:BF$312,"&gt;0"))-(SUMIFS('Safeguard facility data'!BM$4:BM$312,'Safeguard facility data'!$A$4:$A$312,$A197,'Safeguard facility data'!BM$4:BM$312,"&gt;0"))</f>
        <v>92620</v>
      </c>
      <c r="G197" s="67"/>
      <c r="H197" s="67"/>
      <c r="I197" s="67"/>
      <c r="J197" s="67"/>
      <c r="K197" s="67"/>
      <c r="L197" s="67"/>
      <c r="M197" s="67"/>
      <c r="N197" s="67"/>
      <c r="O197" s="67"/>
      <c r="P197" s="67"/>
      <c r="Q197" s="67"/>
    </row>
    <row r="198" spans="1:17">
      <c r="A198" s="87" t="s">
        <v>489</v>
      </c>
      <c r="B198" s="67">
        <f>(SUMIFS('Safeguard facility data'!BB$4:BB$312,'Safeguard facility data'!$A$4:$A$312,$A198,'Safeguard facility data'!BB$4:BB$312,"&gt;0"))-(SUMIFS('Safeguard facility data'!BI$4:BI$312,'Safeguard facility data'!$A$4:$A$312,$A198,'Safeguard facility data'!BI$4:BI$312,"&gt;0"))</f>
        <v>7464</v>
      </c>
      <c r="C198" s="67">
        <f>(SUMIFS('Safeguard facility data'!BC$4:BC$312,'Safeguard facility data'!$A$4:$A$312,$A198,'Safeguard facility data'!BC$4:BC$312,"&gt;0"))-(SUMIFS('Safeguard facility data'!BJ$4:BJ$312,'Safeguard facility data'!$A$4:$A$312,$A198,'Safeguard facility data'!BJ$4:BJ$312,"&gt;0"))</f>
        <v>4327</v>
      </c>
      <c r="D198" s="67">
        <f>(SUMIFS('Safeguard facility data'!BD$4:BD$312,'Safeguard facility data'!$A$4:$A$312,$A198,'Safeguard facility data'!BD$4:BD$312,"&gt;0"))-(SUMIFS('Safeguard facility data'!BK$4:BK$312,'Safeguard facility data'!$A$4:$A$312,$A198,'Safeguard facility data'!BK$4:BK$312,"&gt;0"))</f>
        <v>37119</v>
      </c>
      <c r="E198" s="67">
        <f>(SUMIFS('Safeguard facility data'!BE$4:BE$312,'Safeguard facility data'!$A$4:$A$312,$A198,'Safeguard facility data'!BE$4:BE$312,"&gt;0"))-(SUMIFS('Safeguard facility data'!BL$4:BL$312,'Safeguard facility data'!$A$4:$A$312,$A198,'Safeguard facility data'!BL$4:BL$312,"&gt;0"))</f>
        <v>11321</v>
      </c>
      <c r="F198" s="67">
        <f>(SUMIFS('Safeguard facility data'!BF$4:BF$312,'Safeguard facility data'!$A$4:$A$312,$A198,'Safeguard facility data'!BF$4:BF$312,"&gt;0"))-(SUMIFS('Safeguard facility data'!BM$4:BM$312,'Safeguard facility data'!$A$4:$A$312,$A198,'Safeguard facility data'!BM$4:BM$312,"&gt;0"))</f>
        <v>5491</v>
      </c>
      <c r="G198" s="67"/>
      <c r="H198" s="67"/>
      <c r="I198" s="67"/>
      <c r="J198" s="67"/>
      <c r="K198" s="67"/>
      <c r="L198" s="67"/>
      <c r="M198" s="67"/>
      <c r="N198" s="67"/>
      <c r="O198" s="67"/>
      <c r="P198" s="67"/>
      <c r="Q198" s="67"/>
    </row>
    <row r="199" spans="1:17">
      <c r="A199" s="87" t="s">
        <v>490</v>
      </c>
      <c r="B199" s="67">
        <f>(SUMIFS('Safeguard facility data'!BB$4:BB$312,'Safeguard facility data'!$A$4:$A$312,$A199,'Safeguard facility data'!BB$4:BB$312,"&gt;0"))-(SUMIFS('Safeguard facility data'!BI$4:BI$312,'Safeguard facility data'!$A$4:$A$312,$A199,'Safeguard facility data'!BI$4:BI$312,"&gt;0"))</f>
        <v>165594</v>
      </c>
      <c r="C199" s="67">
        <f>(SUMIFS('Safeguard facility data'!BC$4:BC$312,'Safeguard facility data'!$A$4:$A$312,$A199,'Safeguard facility data'!BC$4:BC$312,"&gt;0"))-(SUMIFS('Safeguard facility data'!BJ$4:BJ$312,'Safeguard facility data'!$A$4:$A$312,$A199,'Safeguard facility data'!BJ$4:BJ$312,"&gt;0"))</f>
        <v>165594</v>
      </c>
      <c r="D199" s="67">
        <f>(SUMIFS('Safeguard facility data'!BD$4:BD$312,'Safeguard facility data'!$A$4:$A$312,$A199,'Safeguard facility data'!BD$4:BD$312,"&gt;0"))-(SUMIFS('Safeguard facility data'!BK$4:BK$312,'Safeguard facility data'!$A$4:$A$312,$A199,'Safeguard facility data'!BK$4:BK$312,"&gt;0"))</f>
        <v>165594</v>
      </c>
      <c r="E199" s="67">
        <f>(SUMIFS('Safeguard facility data'!BE$4:BE$312,'Safeguard facility data'!$A$4:$A$312,$A199,'Safeguard facility data'!BE$4:BE$312,"&gt;0"))-(SUMIFS('Safeguard facility data'!BL$4:BL$312,'Safeguard facility data'!$A$4:$A$312,$A199,'Safeguard facility data'!BL$4:BL$312,"&gt;0"))</f>
        <v>165594</v>
      </c>
      <c r="F199" s="67">
        <f>(SUMIFS('Safeguard facility data'!BF$4:BF$312,'Safeguard facility data'!$A$4:$A$312,$A199,'Safeguard facility data'!BF$4:BF$312,"&gt;0"))-(SUMIFS('Safeguard facility data'!BM$4:BM$312,'Safeguard facility data'!$A$4:$A$312,$A199,'Safeguard facility data'!BM$4:BM$312,"&gt;0"))</f>
        <v>165594</v>
      </c>
      <c r="G199" s="67"/>
      <c r="H199" s="67"/>
      <c r="I199" s="67"/>
      <c r="J199" s="67"/>
      <c r="K199" s="67"/>
      <c r="L199" s="67"/>
      <c r="M199" s="67"/>
      <c r="N199" s="67"/>
      <c r="O199" s="67"/>
      <c r="P199" s="67"/>
      <c r="Q199" s="67"/>
    </row>
    <row r="200" spans="1:17">
      <c r="A200" s="87" t="s">
        <v>491</v>
      </c>
      <c r="B200" s="67">
        <f>(SUMIFS('Safeguard facility data'!BB$4:BB$312,'Safeguard facility data'!$A$4:$A$312,$A200,'Safeguard facility data'!BB$4:BB$312,"&gt;0"))-(SUMIFS('Safeguard facility data'!BI$4:BI$312,'Safeguard facility data'!$A$4:$A$312,$A200,'Safeguard facility data'!BI$4:BI$312,"&gt;0"))</f>
        <v>161610</v>
      </c>
      <c r="C200" s="67">
        <f>(SUMIFS('Safeguard facility data'!BC$4:BC$312,'Safeguard facility data'!$A$4:$A$312,$A200,'Safeguard facility data'!BC$4:BC$312,"&gt;0"))-(SUMIFS('Safeguard facility data'!BJ$4:BJ$312,'Safeguard facility data'!$A$4:$A$312,$A200,'Safeguard facility data'!BJ$4:BJ$312,"&gt;0"))</f>
        <v>161610</v>
      </c>
      <c r="D200" s="67">
        <f>(SUMIFS('Safeguard facility data'!BD$4:BD$312,'Safeguard facility data'!$A$4:$A$312,$A200,'Safeguard facility data'!BD$4:BD$312,"&gt;0"))-(SUMIFS('Safeguard facility data'!BK$4:BK$312,'Safeguard facility data'!$A$4:$A$312,$A200,'Safeguard facility data'!BK$4:BK$312,"&gt;0"))</f>
        <v>161610</v>
      </c>
      <c r="E200" s="67">
        <f>(SUMIFS('Safeguard facility data'!BE$4:BE$312,'Safeguard facility data'!$A$4:$A$312,$A200,'Safeguard facility data'!BE$4:BE$312,"&gt;0"))-(SUMIFS('Safeguard facility data'!BL$4:BL$312,'Safeguard facility data'!$A$4:$A$312,$A200,'Safeguard facility data'!BL$4:BL$312,"&gt;0"))</f>
        <v>161610</v>
      </c>
      <c r="F200" s="67">
        <f>(SUMIFS('Safeguard facility data'!BF$4:BF$312,'Safeguard facility data'!$A$4:$A$312,$A200,'Safeguard facility data'!BF$4:BF$312,"&gt;0"))-(SUMIFS('Safeguard facility data'!BM$4:BM$312,'Safeguard facility data'!$A$4:$A$312,$A200,'Safeguard facility data'!BM$4:BM$312,"&gt;0"))</f>
        <v>161610</v>
      </c>
      <c r="G200" s="67"/>
      <c r="H200" s="67"/>
      <c r="I200" s="67"/>
      <c r="J200" s="67"/>
      <c r="K200" s="67"/>
      <c r="L200" s="67"/>
      <c r="M200" s="67"/>
      <c r="N200" s="67"/>
      <c r="O200" s="67"/>
      <c r="P200" s="67"/>
      <c r="Q200" s="67"/>
    </row>
    <row r="201" spans="1:17">
      <c r="A201" s="87" t="s">
        <v>492</v>
      </c>
      <c r="B201" s="67">
        <f>(SUMIFS('Safeguard facility data'!BB$4:BB$312,'Safeguard facility data'!$A$4:$A$312,$A201,'Safeguard facility data'!BB$4:BB$312,"&gt;0"))-(SUMIFS('Safeguard facility data'!BI$4:BI$312,'Safeguard facility data'!$A$4:$A$312,$A201,'Safeguard facility data'!BI$4:BI$312,"&gt;0"))</f>
        <v>406527</v>
      </c>
      <c r="C201" s="67">
        <f>(SUMIFS('Safeguard facility data'!BC$4:BC$312,'Safeguard facility data'!$A$4:$A$312,$A201,'Safeguard facility data'!BC$4:BC$312,"&gt;0"))-(SUMIFS('Safeguard facility data'!BJ$4:BJ$312,'Safeguard facility data'!$A$4:$A$312,$A201,'Safeguard facility data'!BJ$4:BJ$312,"&gt;0"))</f>
        <v>406527</v>
      </c>
      <c r="D201" s="67">
        <f>(SUMIFS('Safeguard facility data'!BD$4:BD$312,'Safeguard facility data'!$A$4:$A$312,$A201,'Safeguard facility data'!BD$4:BD$312,"&gt;0"))-(SUMIFS('Safeguard facility data'!BK$4:BK$312,'Safeguard facility data'!$A$4:$A$312,$A201,'Safeguard facility data'!BK$4:BK$312,"&gt;0"))</f>
        <v>406527</v>
      </c>
      <c r="E201" s="67">
        <f>(SUMIFS('Safeguard facility data'!BE$4:BE$312,'Safeguard facility data'!$A$4:$A$312,$A201,'Safeguard facility data'!BE$4:BE$312,"&gt;0"))-(SUMIFS('Safeguard facility data'!BL$4:BL$312,'Safeguard facility data'!$A$4:$A$312,$A201,'Safeguard facility data'!BL$4:BL$312,"&gt;0"))</f>
        <v>77543</v>
      </c>
      <c r="F201" s="67">
        <f>(SUMIFS('Safeguard facility data'!BF$4:BF$312,'Safeguard facility data'!$A$4:$A$312,$A201,'Safeguard facility data'!BF$4:BF$312,"&gt;0"))-(SUMIFS('Safeguard facility data'!BM$4:BM$312,'Safeguard facility data'!$A$4:$A$312,$A201,'Safeguard facility data'!BM$4:BM$312,"&gt;0"))</f>
        <v>85675</v>
      </c>
      <c r="G201" s="67"/>
      <c r="H201" s="67"/>
      <c r="I201" s="67"/>
      <c r="J201" s="67"/>
      <c r="K201" s="67"/>
      <c r="L201" s="67"/>
      <c r="M201" s="67"/>
      <c r="N201" s="67"/>
      <c r="O201" s="67"/>
      <c r="P201" s="67"/>
      <c r="Q201" s="67"/>
    </row>
    <row r="202" spans="1:17">
      <c r="A202" s="87" t="s">
        <v>493</v>
      </c>
      <c r="B202" s="67">
        <f>(SUMIFS('Safeguard facility data'!BB$4:BB$312,'Safeguard facility data'!$A$4:$A$312,$A202,'Safeguard facility data'!BB$4:BB$312,"&gt;0"))-(SUMIFS('Safeguard facility data'!BI$4:BI$312,'Safeguard facility data'!$A$4:$A$312,$A202,'Safeguard facility data'!BI$4:BI$312,"&gt;0"))</f>
        <v>19415</v>
      </c>
      <c r="C202" s="67">
        <f>(SUMIFS('Safeguard facility data'!BC$4:BC$312,'Safeguard facility data'!$A$4:$A$312,$A202,'Safeguard facility data'!BC$4:BC$312,"&gt;0"))-(SUMIFS('Safeguard facility data'!BJ$4:BJ$312,'Safeguard facility data'!$A$4:$A$312,$A202,'Safeguard facility data'!BJ$4:BJ$312,"&gt;0"))</f>
        <v>2871</v>
      </c>
      <c r="D202" s="67">
        <f>(SUMIFS('Safeguard facility data'!BD$4:BD$312,'Safeguard facility data'!$A$4:$A$312,$A202,'Safeguard facility data'!BD$4:BD$312,"&gt;0"))-(SUMIFS('Safeguard facility data'!BK$4:BK$312,'Safeguard facility data'!$A$4:$A$312,$A202,'Safeguard facility data'!BK$4:BK$312,"&gt;0"))</f>
        <v>7238</v>
      </c>
      <c r="E202" s="67">
        <f>(SUMIFS('Safeguard facility data'!BE$4:BE$312,'Safeguard facility data'!$A$4:$A$312,$A202,'Safeguard facility data'!BE$4:BE$312,"&gt;0"))-(SUMIFS('Safeguard facility data'!BL$4:BL$312,'Safeguard facility data'!$A$4:$A$312,$A202,'Safeguard facility data'!BL$4:BL$312,"&gt;0"))</f>
        <v>28008</v>
      </c>
      <c r="F202" s="67">
        <f>(SUMIFS('Safeguard facility data'!BF$4:BF$312,'Safeguard facility data'!$A$4:$A$312,$A202,'Safeguard facility data'!BF$4:BF$312,"&gt;0"))-(SUMIFS('Safeguard facility data'!BM$4:BM$312,'Safeguard facility data'!$A$4:$A$312,$A202,'Safeguard facility data'!BM$4:BM$312,"&gt;0"))</f>
        <v>21723</v>
      </c>
      <c r="G202" s="67"/>
      <c r="H202" s="67"/>
      <c r="I202" s="67"/>
      <c r="J202" s="67"/>
      <c r="K202" s="67"/>
      <c r="L202" s="67"/>
      <c r="M202" s="67"/>
      <c r="N202" s="67"/>
      <c r="O202" s="67"/>
      <c r="P202" s="67"/>
      <c r="Q202" s="67"/>
    </row>
    <row r="203" spans="1:17">
      <c r="A203" s="87" t="s">
        <v>494</v>
      </c>
      <c r="B203" s="67">
        <f>(SUMIFS('Safeguard facility data'!BB$4:BB$312,'Safeguard facility data'!$A$4:$A$312,$A203,'Safeguard facility data'!BB$4:BB$312,"&gt;0"))-(SUMIFS('Safeguard facility data'!BI$4:BI$312,'Safeguard facility data'!$A$4:$A$312,$A203,'Safeguard facility data'!BI$4:BI$312,"&gt;0"))</f>
        <v>73680</v>
      </c>
      <c r="C203" s="67">
        <f>(SUMIFS('Safeguard facility data'!BC$4:BC$312,'Safeguard facility data'!$A$4:$A$312,$A203,'Safeguard facility data'!BC$4:BC$312,"&gt;0"))-(SUMIFS('Safeguard facility data'!BJ$4:BJ$312,'Safeguard facility data'!$A$4:$A$312,$A203,'Safeguard facility data'!BJ$4:BJ$312,"&gt;0"))</f>
        <v>74437</v>
      </c>
      <c r="D203" s="67">
        <f>(SUMIFS('Safeguard facility data'!BD$4:BD$312,'Safeguard facility data'!$A$4:$A$312,$A203,'Safeguard facility data'!BD$4:BD$312,"&gt;0"))-(SUMIFS('Safeguard facility data'!BK$4:BK$312,'Safeguard facility data'!$A$4:$A$312,$A203,'Safeguard facility data'!BK$4:BK$312,"&gt;0"))</f>
        <v>90563</v>
      </c>
      <c r="E203" s="67">
        <f>(SUMIFS('Safeguard facility data'!BE$4:BE$312,'Safeguard facility data'!$A$4:$A$312,$A203,'Safeguard facility data'!BE$4:BE$312,"&gt;0"))-(SUMIFS('Safeguard facility data'!BL$4:BL$312,'Safeguard facility data'!$A$4:$A$312,$A203,'Safeguard facility data'!BL$4:BL$312,"&gt;0"))</f>
        <v>102361</v>
      </c>
      <c r="F203" s="67">
        <f>(SUMIFS('Safeguard facility data'!BF$4:BF$312,'Safeguard facility data'!$A$4:$A$312,$A203,'Safeguard facility data'!BF$4:BF$312,"&gt;0"))-(SUMIFS('Safeguard facility data'!BM$4:BM$312,'Safeguard facility data'!$A$4:$A$312,$A203,'Safeguard facility data'!BM$4:BM$312,"&gt;0"))</f>
        <v>71300</v>
      </c>
      <c r="G203" s="67"/>
      <c r="H203" s="67"/>
      <c r="I203" s="67"/>
      <c r="J203" s="67"/>
      <c r="K203" s="67"/>
      <c r="L203" s="67"/>
      <c r="M203" s="67"/>
      <c r="N203" s="67"/>
      <c r="O203" s="67"/>
      <c r="P203" s="67"/>
      <c r="Q203" s="67"/>
    </row>
    <row r="204" spans="1:17">
      <c r="A204" s="87" t="s">
        <v>495</v>
      </c>
      <c r="B204" s="67">
        <f>(SUMIFS('Safeguard facility data'!BB$4:BB$312,'Safeguard facility data'!$A$4:$A$312,$A204,'Safeguard facility data'!BB$4:BB$312,"&gt;0"))-(SUMIFS('Safeguard facility data'!BI$4:BI$312,'Safeguard facility data'!$A$4:$A$312,$A204,'Safeguard facility data'!BI$4:BI$312,"&gt;0"))</f>
        <v>1481828</v>
      </c>
      <c r="C204" s="67">
        <f>(SUMIFS('Safeguard facility data'!BC$4:BC$312,'Safeguard facility data'!$A$4:$A$312,$A204,'Safeguard facility data'!BC$4:BC$312,"&gt;0"))-(SUMIFS('Safeguard facility data'!BJ$4:BJ$312,'Safeguard facility data'!$A$4:$A$312,$A204,'Safeguard facility data'!BJ$4:BJ$312,"&gt;0"))</f>
        <v>1481828</v>
      </c>
      <c r="D204" s="67">
        <f>(SUMIFS('Safeguard facility data'!BD$4:BD$312,'Safeguard facility data'!$A$4:$A$312,$A204,'Safeguard facility data'!BD$4:BD$312,"&gt;0"))-(SUMIFS('Safeguard facility data'!BK$4:BK$312,'Safeguard facility data'!$A$4:$A$312,$A204,'Safeguard facility data'!BK$4:BK$312,"&gt;0"))</f>
        <v>1481828</v>
      </c>
      <c r="E204" s="67">
        <f>(SUMIFS('Safeguard facility data'!BE$4:BE$312,'Safeguard facility data'!$A$4:$A$312,$A204,'Safeguard facility data'!BE$4:BE$312,"&gt;0"))-(SUMIFS('Safeguard facility data'!BL$4:BL$312,'Safeguard facility data'!$A$4:$A$312,$A204,'Safeguard facility data'!BL$4:BL$312,"&gt;0"))</f>
        <v>1481828</v>
      </c>
      <c r="F204" s="67">
        <f>(SUMIFS('Safeguard facility data'!BF$4:BF$312,'Safeguard facility data'!$A$4:$A$312,$A204,'Safeguard facility data'!BF$4:BF$312,"&gt;0"))-(SUMIFS('Safeguard facility data'!BM$4:BM$312,'Safeguard facility data'!$A$4:$A$312,$A204,'Safeguard facility data'!BM$4:BM$312,"&gt;0"))</f>
        <v>1481828</v>
      </c>
      <c r="G204" s="67"/>
      <c r="H204" s="67"/>
      <c r="I204" s="67"/>
      <c r="J204" s="67"/>
      <c r="K204" s="67"/>
      <c r="L204" s="67"/>
      <c r="M204" s="67"/>
      <c r="N204" s="67"/>
      <c r="O204" s="67"/>
      <c r="P204" s="67"/>
      <c r="Q204" s="67"/>
    </row>
    <row r="205" spans="1:17">
      <c r="A205" s="87" t="s">
        <v>496</v>
      </c>
      <c r="B205" s="67">
        <f>(SUMIFS('Safeguard facility data'!BB$4:BB$312,'Safeguard facility data'!$A$4:$A$312,$A205,'Safeguard facility data'!BB$4:BB$312,"&gt;0"))-(SUMIFS('Safeguard facility data'!BI$4:BI$312,'Safeguard facility data'!$A$4:$A$312,$A205,'Safeguard facility data'!BI$4:BI$312,"&gt;0"))</f>
        <v>16582</v>
      </c>
      <c r="C205" s="67">
        <f>(SUMIFS('Safeguard facility data'!BC$4:BC$312,'Safeguard facility data'!$A$4:$A$312,$A205,'Safeguard facility data'!BC$4:BC$312,"&gt;0"))-(SUMIFS('Safeguard facility data'!BJ$4:BJ$312,'Safeguard facility data'!$A$4:$A$312,$A205,'Safeguard facility data'!BJ$4:BJ$312,"&gt;0"))</f>
        <v>19343</v>
      </c>
      <c r="D205" s="67">
        <f>(SUMIFS('Safeguard facility data'!BD$4:BD$312,'Safeguard facility data'!$A$4:$A$312,$A205,'Safeguard facility data'!BD$4:BD$312,"&gt;0"))-(SUMIFS('Safeguard facility data'!BK$4:BK$312,'Safeguard facility data'!$A$4:$A$312,$A205,'Safeguard facility data'!BK$4:BK$312,"&gt;0"))</f>
        <v>30345</v>
      </c>
      <c r="E205" s="67">
        <f>(SUMIFS('Safeguard facility data'!BE$4:BE$312,'Safeguard facility data'!$A$4:$A$312,$A205,'Safeguard facility data'!BE$4:BE$312,"&gt;0"))-(SUMIFS('Safeguard facility data'!BL$4:BL$312,'Safeguard facility data'!$A$4:$A$312,$A205,'Safeguard facility data'!BL$4:BL$312,"&gt;0"))</f>
        <v>7501</v>
      </c>
      <c r="F205" s="67">
        <f>(SUMIFS('Safeguard facility data'!BF$4:BF$312,'Safeguard facility data'!$A$4:$A$312,$A205,'Safeguard facility data'!BF$4:BF$312,"&gt;0"))-(SUMIFS('Safeguard facility data'!BM$4:BM$312,'Safeguard facility data'!$A$4:$A$312,$A205,'Safeguard facility data'!BM$4:BM$312,"&gt;0"))</f>
        <v>-12598</v>
      </c>
      <c r="G205" s="67"/>
      <c r="H205" s="67"/>
      <c r="I205" s="67"/>
      <c r="J205" s="67"/>
      <c r="K205" s="67"/>
      <c r="L205" s="67"/>
      <c r="M205" s="67"/>
      <c r="N205" s="67"/>
      <c r="O205" s="67"/>
      <c r="P205" s="67"/>
      <c r="Q205" s="67"/>
    </row>
    <row r="206" spans="1:17">
      <c r="A206" s="87" t="s">
        <v>497</v>
      </c>
      <c r="B206" s="67">
        <f>(SUMIFS('Safeguard facility data'!BB$4:BB$312,'Safeguard facility data'!$A$4:$A$312,$A206,'Safeguard facility data'!BB$4:BB$312,"&gt;0"))-(SUMIFS('Safeguard facility data'!BI$4:BI$312,'Safeguard facility data'!$A$4:$A$312,$A206,'Safeguard facility data'!BI$4:BI$312,"&gt;0"))</f>
        <v>204908</v>
      </c>
      <c r="C206" s="67">
        <f>(SUMIFS('Safeguard facility data'!BC$4:BC$312,'Safeguard facility data'!$A$4:$A$312,$A206,'Safeguard facility data'!BC$4:BC$312,"&gt;0"))-(SUMIFS('Safeguard facility data'!BJ$4:BJ$312,'Safeguard facility data'!$A$4:$A$312,$A206,'Safeguard facility data'!BJ$4:BJ$312,"&gt;0"))</f>
        <v>132483</v>
      </c>
      <c r="D206" s="67">
        <f>(SUMIFS('Safeguard facility data'!BD$4:BD$312,'Safeguard facility data'!$A$4:$A$312,$A206,'Safeguard facility data'!BD$4:BD$312,"&gt;0"))-(SUMIFS('Safeguard facility data'!BK$4:BK$312,'Safeguard facility data'!$A$4:$A$312,$A206,'Safeguard facility data'!BK$4:BK$312,"&gt;0"))</f>
        <v>71166</v>
      </c>
      <c r="E206" s="67">
        <f>(SUMIFS('Safeguard facility data'!BE$4:BE$312,'Safeguard facility data'!$A$4:$A$312,$A206,'Safeguard facility data'!BE$4:BE$312,"&gt;0"))-(SUMIFS('Safeguard facility data'!BL$4:BL$312,'Safeguard facility data'!$A$4:$A$312,$A206,'Safeguard facility data'!BL$4:BL$312,"&gt;0"))</f>
        <v>35332</v>
      </c>
      <c r="F206" s="67">
        <f>(SUMIFS('Safeguard facility data'!BF$4:BF$312,'Safeguard facility data'!$A$4:$A$312,$A206,'Safeguard facility data'!BF$4:BF$312,"&gt;0"))-(SUMIFS('Safeguard facility data'!BM$4:BM$312,'Safeguard facility data'!$A$4:$A$312,$A206,'Safeguard facility data'!BM$4:BM$312,"&gt;0"))</f>
        <v>117214</v>
      </c>
      <c r="G206" s="67"/>
      <c r="H206" s="67"/>
      <c r="I206" s="67"/>
      <c r="J206" s="67"/>
      <c r="K206" s="67"/>
      <c r="L206" s="67"/>
      <c r="M206" s="67"/>
      <c r="N206" s="67"/>
      <c r="O206" s="67"/>
      <c r="P206" s="67"/>
      <c r="Q206" s="67"/>
    </row>
    <row r="207" spans="1:17">
      <c r="A207" s="87" t="s">
        <v>498</v>
      </c>
      <c r="B207" s="67">
        <f>(SUMIFS('Safeguard facility data'!BB$4:BB$312,'Safeguard facility data'!$A$4:$A$312,$A207,'Safeguard facility data'!BB$4:BB$312,"&gt;0"))-(SUMIFS('Safeguard facility data'!BI$4:BI$312,'Safeguard facility data'!$A$4:$A$312,$A207,'Safeguard facility data'!BI$4:BI$312,"&gt;0"))</f>
        <v>161564</v>
      </c>
      <c r="C207" s="67">
        <f>(SUMIFS('Safeguard facility data'!BC$4:BC$312,'Safeguard facility data'!$A$4:$A$312,$A207,'Safeguard facility data'!BC$4:BC$312,"&gt;0"))-(SUMIFS('Safeguard facility data'!BJ$4:BJ$312,'Safeguard facility data'!$A$4:$A$312,$A207,'Safeguard facility data'!BJ$4:BJ$312,"&gt;0"))</f>
        <v>126167</v>
      </c>
      <c r="D207" s="67">
        <f>(SUMIFS('Safeguard facility data'!BD$4:BD$312,'Safeguard facility data'!$A$4:$A$312,$A207,'Safeguard facility data'!BD$4:BD$312,"&gt;0"))-(SUMIFS('Safeguard facility data'!BK$4:BK$312,'Safeguard facility data'!$A$4:$A$312,$A207,'Safeguard facility data'!BK$4:BK$312,"&gt;0"))</f>
        <v>52557</v>
      </c>
      <c r="E207" s="67">
        <f>(SUMIFS('Safeguard facility data'!BE$4:BE$312,'Safeguard facility data'!$A$4:$A$312,$A207,'Safeguard facility data'!BE$4:BE$312,"&gt;0"))-(SUMIFS('Safeguard facility data'!BL$4:BL$312,'Safeguard facility data'!$A$4:$A$312,$A207,'Safeguard facility data'!BL$4:BL$312,"&gt;0"))</f>
        <v>89313</v>
      </c>
      <c r="F207" s="67">
        <f>(SUMIFS('Safeguard facility data'!BF$4:BF$312,'Safeguard facility data'!$A$4:$A$312,$A207,'Safeguard facility data'!BF$4:BF$312,"&gt;0"))-(SUMIFS('Safeguard facility data'!BM$4:BM$312,'Safeguard facility data'!$A$4:$A$312,$A207,'Safeguard facility data'!BM$4:BM$312,"&gt;0"))</f>
        <v>72866</v>
      </c>
      <c r="G207" s="67"/>
      <c r="H207" s="67"/>
      <c r="I207" s="67"/>
      <c r="J207" s="67"/>
      <c r="K207" s="67"/>
      <c r="L207" s="67"/>
      <c r="M207" s="67"/>
      <c r="N207" s="67"/>
      <c r="O207" s="67"/>
      <c r="P207" s="67"/>
      <c r="Q207" s="67"/>
    </row>
    <row r="208" spans="1:17">
      <c r="A208" s="87" t="s">
        <v>499</v>
      </c>
      <c r="B208" s="67">
        <f>(SUMIFS('Safeguard facility data'!BB$4:BB$312,'Safeguard facility data'!$A$4:$A$312,$A208,'Safeguard facility data'!BB$4:BB$312,"&gt;0"))-(SUMIFS('Safeguard facility data'!BI$4:BI$312,'Safeguard facility data'!$A$4:$A$312,$A208,'Safeguard facility data'!BI$4:BI$312,"&gt;0"))</f>
        <v>133960</v>
      </c>
      <c r="C208" s="67">
        <f>(SUMIFS('Safeguard facility data'!BC$4:BC$312,'Safeguard facility data'!$A$4:$A$312,$A208,'Safeguard facility data'!BC$4:BC$312,"&gt;0"))-(SUMIFS('Safeguard facility data'!BJ$4:BJ$312,'Safeguard facility data'!$A$4:$A$312,$A208,'Safeguard facility data'!BJ$4:BJ$312,"&gt;0"))</f>
        <v>133960</v>
      </c>
      <c r="D208" s="67">
        <f>(SUMIFS('Safeguard facility data'!BD$4:BD$312,'Safeguard facility data'!$A$4:$A$312,$A208,'Safeguard facility data'!BD$4:BD$312,"&gt;0"))-(SUMIFS('Safeguard facility data'!BK$4:BK$312,'Safeguard facility data'!$A$4:$A$312,$A208,'Safeguard facility data'!BK$4:BK$312,"&gt;0"))</f>
        <v>133960</v>
      </c>
      <c r="E208" s="67">
        <f>(SUMIFS('Safeguard facility data'!BE$4:BE$312,'Safeguard facility data'!$A$4:$A$312,$A208,'Safeguard facility data'!BE$4:BE$312,"&gt;0"))-(SUMIFS('Safeguard facility data'!BL$4:BL$312,'Safeguard facility data'!$A$4:$A$312,$A208,'Safeguard facility data'!BL$4:BL$312,"&gt;0"))</f>
        <v>133960</v>
      </c>
      <c r="F208" s="67">
        <f>(SUMIFS('Safeguard facility data'!BF$4:BF$312,'Safeguard facility data'!$A$4:$A$312,$A208,'Safeguard facility data'!BF$4:BF$312,"&gt;0"))-(SUMIFS('Safeguard facility data'!BM$4:BM$312,'Safeguard facility data'!$A$4:$A$312,$A208,'Safeguard facility data'!BM$4:BM$312,"&gt;0"))</f>
        <v>133960</v>
      </c>
      <c r="G208" s="67"/>
      <c r="H208" s="67"/>
      <c r="I208" s="67"/>
      <c r="J208" s="67"/>
      <c r="K208" s="67"/>
      <c r="L208" s="67"/>
      <c r="M208" s="67"/>
      <c r="N208" s="67"/>
      <c r="O208" s="67"/>
      <c r="P208" s="67"/>
      <c r="Q208" s="67"/>
    </row>
    <row r="209" spans="1:17">
      <c r="A209" s="87" t="s">
        <v>500</v>
      </c>
      <c r="B209" s="67">
        <f>(SUMIFS('Safeguard facility data'!BB$4:BB$312,'Safeguard facility data'!$A$4:$A$312,$A209,'Safeguard facility data'!BB$4:BB$312,"&gt;0"))-(SUMIFS('Safeguard facility data'!BI$4:BI$312,'Safeguard facility data'!$A$4:$A$312,$A209,'Safeguard facility data'!BI$4:BI$312,"&gt;0"))</f>
        <v>8922</v>
      </c>
      <c r="C209" s="67">
        <f>(SUMIFS('Safeguard facility data'!BC$4:BC$312,'Safeguard facility data'!$A$4:$A$312,$A209,'Safeguard facility data'!BC$4:BC$312,"&gt;0"))-(SUMIFS('Safeguard facility data'!BJ$4:BJ$312,'Safeguard facility data'!$A$4:$A$312,$A209,'Safeguard facility data'!BJ$4:BJ$312,"&gt;0"))</f>
        <v>91594</v>
      </c>
      <c r="D209" s="67">
        <f>(SUMIFS('Safeguard facility data'!BD$4:BD$312,'Safeguard facility data'!$A$4:$A$312,$A209,'Safeguard facility data'!BD$4:BD$312,"&gt;0"))-(SUMIFS('Safeguard facility data'!BK$4:BK$312,'Safeguard facility data'!$A$4:$A$312,$A209,'Safeguard facility data'!BK$4:BK$312,"&gt;0"))</f>
        <v>100263</v>
      </c>
      <c r="E209" s="67">
        <f>(SUMIFS('Safeguard facility data'!BE$4:BE$312,'Safeguard facility data'!$A$4:$A$312,$A209,'Safeguard facility data'!BE$4:BE$312,"&gt;0"))-(SUMIFS('Safeguard facility data'!BL$4:BL$312,'Safeguard facility data'!$A$4:$A$312,$A209,'Safeguard facility data'!BL$4:BL$312,"&gt;0"))</f>
        <v>80224</v>
      </c>
      <c r="F209" s="67">
        <f>(SUMIFS('Safeguard facility data'!BF$4:BF$312,'Safeguard facility data'!$A$4:$A$312,$A209,'Safeguard facility data'!BF$4:BF$312,"&gt;0"))-(SUMIFS('Safeguard facility data'!BM$4:BM$312,'Safeguard facility data'!$A$4:$A$312,$A209,'Safeguard facility data'!BM$4:BM$312,"&gt;0"))</f>
        <v>90125</v>
      </c>
      <c r="G209" s="67"/>
      <c r="H209" s="67"/>
      <c r="I209" s="67"/>
      <c r="J209" s="67"/>
      <c r="K209" s="67"/>
      <c r="L209" s="67"/>
      <c r="M209" s="67"/>
      <c r="N209" s="67"/>
      <c r="O209" s="67"/>
      <c r="P209" s="67"/>
      <c r="Q209" s="67"/>
    </row>
    <row r="210" spans="1:17">
      <c r="A210" s="87" t="s">
        <v>501</v>
      </c>
      <c r="B210" s="67">
        <f>(SUMIFS('Safeguard facility data'!BB$4:BB$312,'Safeguard facility data'!$A$4:$A$312,$A210,'Safeguard facility data'!BB$4:BB$312,"&gt;0"))-(SUMIFS('Safeguard facility data'!BI$4:BI$312,'Safeguard facility data'!$A$4:$A$312,$A210,'Safeguard facility data'!BI$4:BI$312,"&gt;0"))</f>
        <v>61483</v>
      </c>
      <c r="C210" s="67">
        <f>(SUMIFS('Safeguard facility data'!BC$4:BC$312,'Safeguard facility data'!$A$4:$A$312,$A210,'Safeguard facility data'!BC$4:BC$312,"&gt;0"))-(SUMIFS('Safeguard facility data'!BJ$4:BJ$312,'Safeguard facility data'!$A$4:$A$312,$A210,'Safeguard facility data'!BJ$4:BJ$312,"&gt;0"))</f>
        <v>21330</v>
      </c>
      <c r="D210" s="67">
        <f>(SUMIFS('Safeguard facility data'!BD$4:BD$312,'Safeguard facility data'!$A$4:$A$312,$A210,'Safeguard facility data'!BD$4:BD$312,"&gt;0"))-(SUMIFS('Safeguard facility data'!BK$4:BK$312,'Safeguard facility data'!$A$4:$A$312,$A210,'Safeguard facility data'!BK$4:BK$312,"&gt;0"))</f>
        <v>80278</v>
      </c>
      <c r="E210" s="67">
        <f>(SUMIFS('Safeguard facility data'!BE$4:BE$312,'Safeguard facility data'!$A$4:$A$312,$A210,'Safeguard facility data'!BE$4:BE$312,"&gt;0"))-(SUMIFS('Safeguard facility data'!BL$4:BL$312,'Safeguard facility data'!$A$4:$A$312,$A210,'Safeguard facility data'!BL$4:BL$312,"&gt;0"))</f>
        <v>74037</v>
      </c>
      <c r="F210" s="67">
        <f>(SUMIFS('Safeguard facility data'!BF$4:BF$312,'Safeguard facility data'!$A$4:$A$312,$A210,'Safeguard facility data'!BF$4:BF$312,"&gt;0"))-(SUMIFS('Safeguard facility data'!BM$4:BM$312,'Safeguard facility data'!$A$4:$A$312,$A210,'Safeguard facility data'!BM$4:BM$312,"&gt;0"))</f>
        <v>10115</v>
      </c>
      <c r="G210" s="67"/>
      <c r="H210" s="67"/>
      <c r="I210" s="67"/>
      <c r="J210" s="67"/>
      <c r="K210" s="67"/>
      <c r="L210" s="67"/>
      <c r="M210" s="67"/>
      <c r="N210" s="67"/>
      <c r="O210" s="67"/>
      <c r="P210" s="67"/>
      <c r="Q210" s="67"/>
    </row>
    <row r="211" spans="1:17">
      <c r="A211" s="87" t="s">
        <v>502</v>
      </c>
      <c r="B211" s="67">
        <f>(SUMIFS('Safeguard facility data'!BB$4:BB$312,'Safeguard facility data'!$A$4:$A$312,$A211,'Safeguard facility data'!BB$4:BB$312,"&gt;0"))-(SUMIFS('Safeguard facility data'!BI$4:BI$312,'Safeguard facility data'!$A$4:$A$312,$A211,'Safeguard facility data'!BI$4:BI$312,"&gt;0"))</f>
        <v>79909</v>
      </c>
      <c r="C211" s="67">
        <f>(SUMIFS('Safeguard facility data'!BC$4:BC$312,'Safeguard facility data'!$A$4:$A$312,$A211,'Safeguard facility data'!BC$4:BC$312,"&gt;0"))-(SUMIFS('Safeguard facility data'!BJ$4:BJ$312,'Safeguard facility data'!$A$4:$A$312,$A211,'Safeguard facility data'!BJ$4:BJ$312,"&gt;0"))</f>
        <v>60605</v>
      </c>
      <c r="D211" s="67">
        <f>(SUMIFS('Safeguard facility data'!BD$4:BD$312,'Safeguard facility data'!$A$4:$A$312,$A211,'Safeguard facility data'!BD$4:BD$312,"&gt;0"))-(SUMIFS('Safeguard facility data'!BK$4:BK$312,'Safeguard facility data'!$A$4:$A$312,$A211,'Safeguard facility data'!BK$4:BK$312,"&gt;0"))</f>
        <v>36036</v>
      </c>
      <c r="E211" s="67">
        <f>(SUMIFS('Safeguard facility data'!BE$4:BE$312,'Safeguard facility data'!$A$4:$A$312,$A211,'Safeguard facility data'!BE$4:BE$312,"&gt;0"))-(SUMIFS('Safeguard facility data'!BL$4:BL$312,'Safeguard facility data'!$A$4:$A$312,$A211,'Safeguard facility data'!BL$4:BL$312,"&gt;0"))</f>
        <v>45739</v>
      </c>
      <c r="F211" s="67">
        <f>(SUMIFS('Safeguard facility data'!BF$4:BF$312,'Safeguard facility data'!$A$4:$A$312,$A211,'Safeguard facility data'!BF$4:BF$312,"&gt;0"))-(SUMIFS('Safeguard facility data'!BM$4:BM$312,'Safeguard facility data'!$A$4:$A$312,$A211,'Safeguard facility data'!BM$4:BM$312,"&gt;0"))</f>
        <v>1479736</v>
      </c>
      <c r="G211" s="67"/>
      <c r="H211" s="67"/>
      <c r="I211" s="67"/>
      <c r="J211" s="67"/>
      <c r="K211" s="67"/>
      <c r="L211" s="67"/>
      <c r="M211" s="67"/>
      <c r="N211" s="67"/>
      <c r="O211" s="67"/>
      <c r="P211" s="67"/>
      <c r="Q211" s="67"/>
    </row>
    <row r="212" spans="1:17">
      <c r="A212" s="87" t="s">
        <v>503</v>
      </c>
      <c r="B212" s="67">
        <f>(SUMIFS('Safeguard facility data'!BB$4:BB$312,'Safeguard facility data'!$A$4:$A$312,$A212,'Safeguard facility data'!BB$4:BB$312,"&gt;0"))-(SUMIFS('Safeguard facility data'!BI$4:BI$312,'Safeguard facility data'!$A$4:$A$312,$A212,'Safeguard facility data'!BI$4:BI$312,"&gt;0"))</f>
        <v>417830</v>
      </c>
      <c r="C212" s="67">
        <f>(SUMIFS('Safeguard facility data'!BC$4:BC$312,'Safeguard facility data'!$A$4:$A$312,$A212,'Safeguard facility data'!BC$4:BC$312,"&gt;0"))-(SUMIFS('Safeguard facility data'!BJ$4:BJ$312,'Safeguard facility data'!$A$4:$A$312,$A212,'Safeguard facility data'!BJ$4:BJ$312,"&gt;0"))</f>
        <v>454398</v>
      </c>
      <c r="D212" s="67">
        <f>(SUMIFS('Safeguard facility data'!BD$4:BD$312,'Safeguard facility data'!$A$4:$A$312,$A212,'Safeguard facility data'!BD$4:BD$312,"&gt;0"))-(SUMIFS('Safeguard facility data'!BK$4:BK$312,'Safeguard facility data'!$A$4:$A$312,$A212,'Safeguard facility data'!BK$4:BK$312,"&gt;0"))</f>
        <v>638122</v>
      </c>
      <c r="E212" s="67">
        <f>(SUMIFS('Safeguard facility data'!BE$4:BE$312,'Safeguard facility data'!$A$4:$A$312,$A212,'Safeguard facility data'!BE$4:BE$312,"&gt;0"))-(SUMIFS('Safeguard facility data'!BL$4:BL$312,'Safeguard facility data'!$A$4:$A$312,$A212,'Safeguard facility data'!BL$4:BL$312,"&gt;0"))</f>
        <v>522586</v>
      </c>
      <c r="F212" s="67">
        <f>(SUMIFS('Safeguard facility data'!BF$4:BF$312,'Safeguard facility data'!$A$4:$A$312,$A212,'Safeguard facility data'!BF$4:BF$312,"&gt;0"))-(SUMIFS('Safeguard facility data'!BM$4:BM$312,'Safeguard facility data'!$A$4:$A$312,$A212,'Safeguard facility data'!BM$4:BM$312,"&gt;0"))</f>
        <v>-13895</v>
      </c>
      <c r="G212" s="67"/>
      <c r="H212" s="67"/>
      <c r="I212" s="67"/>
      <c r="J212" s="67"/>
      <c r="K212" s="67"/>
      <c r="L212" s="67"/>
      <c r="M212" s="67"/>
      <c r="N212" s="67"/>
      <c r="O212" s="67"/>
      <c r="P212" s="67"/>
      <c r="Q212" s="67"/>
    </row>
    <row r="213" spans="1:17">
      <c r="A213" s="87" t="s">
        <v>504</v>
      </c>
      <c r="B213" s="67">
        <f>(SUMIFS('Safeguard facility data'!BB$4:BB$312,'Safeguard facility data'!$A$4:$A$312,$A213,'Safeguard facility data'!BB$4:BB$312,"&gt;0"))-(SUMIFS('Safeguard facility data'!BI$4:BI$312,'Safeguard facility data'!$A$4:$A$312,$A213,'Safeguard facility data'!BI$4:BI$312,"&gt;0"))</f>
        <v>100000</v>
      </c>
      <c r="C213" s="67">
        <f>(SUMIFS('Safeguard facility data'!BC$4:BC$312,'Safeguard facility data'!$A$4:$A$312,$A213,'Safeguard facility data'!BC$4:BC$312,"&gt;0"))-(SUMIFS('Safeguard facility data'!BJ$4:BJ$312,'Safeguard facility data'!$A$4:$A$312,$A213,'Safeguard facility data'!BJ$4:BJ$312,"&gt;0"))</f>
        <v>100000</v>
      </c>
      <c r="D213" s="67">
        <f>(SUMIFS('Safeguard facility data'!BD$4:BD$312,'Safeguard facility data'!$A$4:$A$312,$A213,'Safeguard facility data'!BD$4:BD$312,"&gt;0"))-(SUMIFS('Safeguard facility data'!BK$4:BK$312,'Safeguard facility data'!$A$4:$A$312,$A213,'Safeguard facility data'!BK$4:BK$312,"&gt;0"))</f>
        <v>100000</v>
      </c>
      <c r="E213" s="67">
        <f>(SUMIFS('Safeguard facility data'!BE$4:BE$312,'Safeguard facility data'!$A$4:$A$312,$A213,'Safeguard facility data'!BE$4:BE$312,"&gt;0"))-(SUMIFS('Safeguard facility data'!BL$4:BL$312,'Safeguard facility data'!$A$4:$A$312,$A213,'Safeguard facility data'!BL$4:BL$312,"&gt;0"))</f>
        <v>100000</v>
      </c>
      <c r="F213" s="67">
        <f>(SUMIFS('Safeguard facility data'!BF$4:BF$312,'Safeguard facility data'!$A$4:$A$312,$A213,'Safeguard facility data'!BF$4:BF$312,"&gt;0"))-(SUMIFS('Safeguard facility data'!BM$4:BM$312,'Safeguard facility data'!$A$4:$A$312,$A213,'Safeguard facility data'!BM$4:BM$312,"&gt;0"))</f>
        <v>100000</v>
      </c>
      <c r="G213" s="67"/>
      <c r="H213" s="67"/>
      <c r="I213" s="67"/>
      <c r="J213" s="67"/>
      <c r="K213" s="67"/>
      <c r="L213" s="67"/>
      <c r="M213" s="67"/>
      <c r="N213" s="67"/>
      <c r="O213" s="67"/>
      <c r="P213" s="67"/>
      <c r="Q213" s="67"/>
    </row>
    <row r="214" spans="1:17">
      <c r="A214" s="87" t="s">
        <v>505</v>
      </c>
      <c r="B214" s="67">
        <f>(SUMIFS('Safeguard facility data'!BB$4:BB$312,'Safeguard facility data'!$A$4:$A$312,$A214,'Safeguard facility data'!BB$4:BB$312,"&gt;0"))-(SUMIFS('Safeguard facility data'!BI$4:BI$312,'Safeguard facility data'!$A$4:$A$312,$A214,'Safeguard facility data'!BI$4:BI$312,"&gt;0"))</f>
        <v>17816</v>
      </c>
      <c r="C214" s="67">
        <f>(SUMIFS('Safeguard facility data'!BC$4:BC$312,'Safeguard facility data'!$A$4:$A$312,$A214,'Safeguard facility data'!BC$4:BC$312,"&gt;0"))-(SUMIFS('Safeguard facility data'!BJ$4:BJ$312,'Safeguard facility data'!$A$4:$A$312,$A214,'Safeguard facility data'!BJ$4:BJ$312,"&gt;0"))</f>
        <v>4771</v>
      </c>
      <c r="D214" s="67">
        <f>(SUMIFS('Safeguard facility data'!BD$4:BD$312,'Safeguard facility data'!$A$4:$A$312,$A214,'Safeguard facility data'!BD$4:BD$312,"&gt;0"))-(SUMIFS('Safeguard facility data'!BK$4:BK$312,'Safeguard facility data'!$A$4:$A$312,$A214,'Safeguard facility data'!BK$4:BK$312,"&gt;0"))</f>
        <v>0</v>
      </c>
      <c r="E214" s="67">
        <f>(SUMIFS('Safeguard facility data'!BE$4:BE$312,'Safeguard facility data'!$A$4:$A$312,$A214,'Safeguard facility data'!BE$4:BE$312,"&gt;0"))-(SUMIFS('Safeguard facility data'!BL$4:BL$312,'Safeguard facility data'!$A$4:$A$312,$A214,'Safeguard facility data'!BL$4:BL$312,"&gt;0"))</f>
        <v>-2412</v>
      </c>
      <c r="F214" s="67">
        <f>(SUMIFS('Safeguard facility data'!BF$4:BF$312,'Safeguard facility data'!$A$4:$A$312,$A214,'Safeguard facility data'!BF$4:BF$312,"&gt;0"))-(SUMIFS('Safeguard facility data'!BM$4:BM$312,'Safeguard facility data'!$A$4:$A$312,$A214,'Safeguard facility data'!BM$4:BM$312,"&gt;0"))</f>
        <v>-9593</v>
      </c>
      <c r="G214" s="67"/>
      <c r="H214" s="67"/>
      <c r="I214" s="67"/>
      <c r="J214" s="67"/>
      <c r="K214" s="67"/>
      <c r="L214" s="67"/>
      <c r="M214" s="67"/>
      <c r="N214" s="67"/>
      <c r="O214" s="67"/>
      <c r="P214" s="67"/>
      <c r="Q214" s="67"/>
    </row>
    <row r="215" spans="1:17">
      <c r="A215" s="87" t="s">
        <v>506</v>
      </c>
      <c r="B215" s="67">
        <f>(SUMIFS('Safeguard facility data'!BB$4:BB$312,'Safeguard facility data'!$A$4:$A$312,$A215,'Safeguard facility data'!BB$4:BB$312,"&gt;0"))-(SUMIFS('Safeguard facility data'!BI$4:BI$312,'Safeguard facility data'!$A$4:$A$312,$A215,'Safeguard facility data'!BI$4:BI$312,"&gt;0"))</f>
        <v>140648</v>
      </c>
      <c r="C215" s="67">
        <f>(SUMIFS('Safeguard facility data'!BC$4:BC$312,'Safeguard facility data'!$A$4:$A$312,$A215,'Safeguard facility data'!BC$4:BC$312,"&gt;0"))-(SUMIFS('Safeguard facility data'!BJ$4:BJ$312,'Safeguard facility data'!$A$4:$A$312,$A215,'Safeguard facility data'!BJ$4:BJ$312,"&gt;0"))</f>
        <v>24040</v>
      </c>
      <c r="D215" s="67">
        <f>(SUMIFS('Safeguard facility data'!BD$4:BD$312,'Safeguard facility data'!$A$4:$A$312,$A215,'Safeguard facility data'!BD$4:BD$312,"&gt;0"))-(SUMIFS('Safeguard facility data'!BK$4:BK$312,'Safeguard facility data'!$A$4:$A$312,$A215,'Safeguard facility data'!BK$4:BK$312,"&gt;0"))</f>
        <v>25818</v>
      </c>
      <c r="E215" s="67">
        <f>(SUMIFS('Safeguard facility data'!BE$4:BE$312,'Safeguard facility data'!$A$4:$A$312,$A215,'Safeguard facility data'!BE$4:BE$312,"&gt;0"))-(SUMIFS('Safeguard facility data'!BL$4:BL$312,'Safeguard facility data'!$A$4:$A$312,$A215,'Safeguard facility data'!BL$4:BL$312,"&gt;0"))</f>
        <v>3538</v>
      </c>
      <c r="F215" s="67">
        <f>(SUMIFS('Safeguard facility data'!BF$4:BF$312,'Safeguard facility data'!$A$4:$A$312,$A215,'Safeguard facility data'!BF$4:BF$312,"&gt;0"))-(SUMIFS('Safeguard facility data'!BM$4:BM$312,'Safeguard facility data'!$A$4:$A$312,$A215,'Safeguard facility data'!BM$4:BM$312,"&gt;0"))</f>
        <v>21442</v>
      </c>
      <c r="G215" s="67"/>
      <c r="H215" s="67"/>
      <c r="I215" s="67"/>
      <c r="J215" s="67"/>
      <c r="K215" s="67"/>
      <c r="L215" s="67"/>
      <c r="M215" s="67"/>
      <c r="N215" s="67"/>
      <c r="O215" s="67"/>
      <c r="P215" s="67"/>
      <c r="Q215" s="67"/>
    </row>
    <row r="216" spans="1:17">
      <c r="A216" s="87" t="s">
        <v>507</v>
      </c>
      <c r="B216" s="67">
        <f>(SUMIFS('Safeguard facility data'!BB$4:BB$312,'Safeguard facility data'!$A$4:$A$312,$A216,'Safeguard facility data'!BB$4:BB$312,"&gt;0"))-(SUMIFS('Safeguard facility data'!BI$4:BI$312,'Safeguard facility data'!$A$4:$A$312,$A216,'Safeguard facility data'!BI$4:BI$312,"&gt;0"))</f>
        <v>4848995</v>
      </c>
      <c r="C216" s="67">
        <f>(SUMIFS('Safeguard facility data'!BC$4:BC$312,'Safeguard facility data'!$A$4:$A$312,$A216,'Safeguard facility data'!BC$4:BC$312,"&gt;0"))-(SUMIFS('Safeguard facility data'!BJ$4:BJ$312,'Safeguard facility data'!$A$4:$A$312,$A216,'Safeguard facility data'!BJ$4:BJ$312,"&gt;0"))</f>
        <v>4769260</v>
      </c>
      <c r="D216" s="67">
        <f>(SUMIFS('Safeguard facility data'!BD$4:BD$312,'Safeguard facility data'!$A$4:$A$312,$A216,'Safeguard facility data'!BD$4:BD$312,"&gt;0"))-(SUMIFS('Safeguard facility data'!BK$4:BK$312,'Safeguard facility data'!$A$4:$A$312,$A216,'Safeguard facility data'!BK$4:BK$312,"&gt;0"))</f>
        <v>4905781</v>
      </c>
      <c r="E216" s="67">
        <f>(SUMIFS('Safeguard facility data'!BE$4:BE$312,'Safeguard facility data'!$A$4:$A$312,$A216,'Safeguard facility data'!BE$4:BE$312,"&gt;0"))-(SUMIFS('Safeguard facility data'!BL$4:BL$312,'Safeguard facility data'!$A$4:$A$312,$A216,'Safeguard facility data'!BL$4:BL$312,"&gt;0"))</f>
        <v>4937083</v>
      </c>
      <c r="F216" s="67">
        <f>(SUMIFS('Safeguard facility data'!BF$4:BF$312,'Safeguard facility data'!$A$4:$A$312,$A216,'Safeguard facility data'!BF$4:BF$312,"&gt;0"))-(SUMIFS('Safeguard facility data'!BM$4:BM$312,'Safeguard facility data'!$A$4:$A$312,$A216,'Safeguard facility data'!BM$4:BM$312,"&gt;0"))</f>
        <v>4779450</v>
      </c>
      <c r="G216" s="67"/>
      <c r="H216" s="67"/>
      <c r="I216" s="67"/>
      <c r="J216" s="67"/>
      <c r="K216" s="67"/>
      <c r="L216" s="67"/>
      <c r="M216" s="67"/>
      <c r="N216" s="67"/>
      <c r="O216" s="67"/>
      <c r="P216" s="67"/>
      <c r="Q216" s="67"/>
    </row>
    <row r="217" spans="1:17">
      <c r="A217" s="87" t="s">
        <v>508</v>
      </c>
      <c r="B217" s="67">
        <f>(SUMIFS('Safeguard facility data'!BB$4:BB$312,'Safeguard facility data'!$A$4:$A$312,$A217,'Safeguard facility data'!BB$4:BB$312,"&gt;0"))-(SUMIFS('Safeguard facility data'!BI$4:BI$312,'Safeguard facility data'!$A$4:$A$312,$A217,'Safeguard facility data'!BI$4:BI$312,"&gt;0"))</f>
        <v>118950</v>
      </c>
      <c r="C217" s="67">
        <f>(SUMIFS('Safeguard facility data'!BC$4:BC$312,'Safeguard facility data'!$A$4:$A$312,$A217,'Safeguard facility data'!BC$4:BC$312,"&gt;0"))-(SUMIFS('Safeguard facility data'!BJ$4:BJ$312,'Safeguard facility data'!$A$4:$A$312,$A217,'Safeguard facility data'!BJ$4:BJ$312,"&gt;0"))</f>
        <v>-5272</v>
      </c>
      <c r="D217" s="67">
        <f>(SUMIFS('Safeguard facility data'!BD$4:BD$312,'Safeguard facility data'!$A$4:$A$312,$A217,'Safeguard facility data'!BD$4:BD$312,"&gt;0"))-(SUMIFS('Safeguard facility data'!BK$4:BK$312,'Safeguard facility data'!$A$4:$A$312,$A217,'Safeguard facility data'!BK$4:BK$312,"&gt;0"))</f>
        <v>24907</v>
      </c>
      <c r="E217" s="67">
        <f>(SUMIFS('Safeguard facility data'!BE$4:BE$312,'Safeguard facility data'!$A$4:$A$312,$A217,'Safeguard facility data'!BE$4:BE$312,"&gt;0"))-(SUMIFS('Safeguard facility data'!BL$4:BL$312,'Safeguard facility data'!$A$4:$A$312,$A217,'Safeguard facility data'!BL$4:BL$312,"&gt;0"))</f>
        <v>-5136</v>
      </c>
      <c r="F217" s="67">
        <f>(SUMIFS('Safeguard facility data'!BF$4:BF$312,'Safeguard facility data'!$A$4:$A$312,$A217,'Safeguard facility data'!BF$4:BF$312,"&gt;0"))-(SUMIFS('Safeguard facility data'!BM$4:BM$312,'Safeguard facility data'!$A$4:$A$312,$A217,'Safeguard facility data'!BM$4:BM$312,"&gt;0"))</f>
        <v>4904</v>
      </c>
      <c r="G217" s="67"/>
      <c r="H217" s="67"/>
      <c r="I217" s="67"/>
      <c r="J217" s="67"/>
      <c r="K217" s="67"/>
      <c r="L217" s="67"/>
      <c r="M217" s="67"/>
      <c r="N217" s="67"/>
      <c r="O217" s="67"/>
      <c r="P217" s="67"/>
      <c r="Q217" s="67"/>
    </row>
    <row r="218" spans="1:17">
      <c r="A218" s="87" t="s">
        <v>509</v>
      </c>
      <c r="B218" s="67">
        <f>(SUMIFS('Safeguard facility data'!BB$4:BB$312,'Safeguard facility data'!$A$4:$A$312,$A218,'Safeguard facility data'!BB$4:BB$312,"&gt;0"))-(SUMIFS('Safeguard facility data'!BI$4:BI$312,'Safeguard facility data'!$A$4:$A$312,$A218,'Safeguard facility data'!BI$4:BI$312,"&gt;0"))</f>
        <v>177735</v>
      </c>
      <c r="C218" s="67">
        <f>(SUMIFS('Safeguard facility data'!BC$4:BC$312,'Safeguard facility data'!$A$4:$A$312,$A218,'Safeguard facility data'!BC$4:BC$312,"&gt;0"))-(SUMIFS('Safeguard facility data'!BJ$4:BJ$312,'Safeguard facility data'!$A$4:$A$312,$A218,'Safeguard facility data'!BJ$4:BJ$312,"&gt;0"))</f>
        <v>-7874</v>
      </c>
      <c r="D218" s="67">
        <f>(SUMIFS('Safeguard facility data'!BD$4:BD$312,'Safeguard facility data'!$A$4:$A$312,$A218,'Safeguard facility data'!BD$4:BD$312,"&gt;0"))-(SUMIFS('Safeguard facility data'!BK$4:BK$312,'Safeguard facility data'!$A$4:$A$312,$A218,'Safeguard facility data'!BK$4:BK$312,"&gt;0"))</f>
        <v>5457</v>
      </c>
      <c r="E218" s="67">
        <f>(SUMIFS('Safeguard facility data'!BE$4:BE$312,'Safeguard facility data'!$A$4:$A$312,$A218,'Safeguard facility data'!BE$4:BE$312,"&gt;0"))-(SUMIFS('Safeguard facility data'!BL$4:BL$312,'Safeguard facility data'!$A$4:$A$312,$A218,'Safeguard facility data'!BL$4:BL$312,"&gt;0"))</f>
        <v>-28218</v>
      </c>
      <c r="F218" s="67">
        <f>(SUMIFS('Safeguard facility data'!BF$4:BF$312,'Safeguard facility data'!$A$4:$A$312,$A218,'Safeguard facility data'!BF$4:BF$312,"&gt;0"))-(SUMIFS('Safeguard facility data'!BM$4:BM$312,'Safeguard facility data'!$A$4:$A$312,$A218,'Safeguard facility data'!BM$4:BM$312,"&gt;0"))</f>
        <v>-16906</v>
      </c>
      <c r="G218" s="67"/>
      <c r="H218" s="67"/>
      <c r="I218" s="67"/>
      <c r="J218" s="67"/>
      <c r="K218" s="67"/>
      <c r="L218" s="67"/>
      <c r="M218" s="67"/>
      <c r="N218" s="67"/>
      <c r="O218" s="67"/>
      <c r="P218" s="67"/>
      <c r="Q218" s="67"/>
    </row>
    <row r="219" spans="1:17">
      <c r="A219" s="87" t="s">
        <v>510</v>
      </c>
      <c r="B219" s="67">
        <f>(SUMIFS('Safeguard facility data'!BB$4:BB$312,'Safeguard facility data'!$A$4:$A$312,$A219,'Safeguard facility data'!BB$4:BB$312,"&gt;0"))-(SUMIFS('Safeguard facility data'!BI$4:BI$312,'Safeguard facility data'!$A$4:$A$312,$A219,'Safeguard facility data'!BI$4:BI$312,"&gt;0"))</f>
        <v>132363</v>
      </c>
      <c r="C219" s="67">
        <f>(SUMIFS('Safeguard facility data'!BC$4:BC$312,'Safeguard facility data'!$A$4:$A$312,$A219,'Safeguard facility data'!BC$4:BC$312,"&gt;0"))-(SUMIFS('Safeguard facility data'!BJ$4:BJ$312,'Safeguard facility data'!$A$4:$A$312,$A219,'Safeguard facility data'!BJ$4:BJ$312,"&gt;0"))</f>
        <v>132363</v>
      </c>
      <c r="D219" s="67">
        <f>(SUMIFS('Safeguard facility data'!BD$4:BD$312,'Safeguard facility data'!$A$4:$A$312,$A219,'Safeguard facility data'!BD$4:BD$312,"&gt;0"))-(SUMIFS('Safeguard facility data'!BK$4:BK$312,'Safeguard facility data'!$A$4:$A$312,$A219,'Safeguard facility data'!BK$4:BK$312,"&gt;0"))</f>
        <v>132363</v>
      </c>
      <c r="E219" s="67">
        <f>(SUMIFS('Safeguard facility data'!BE$4:BE$312,'Safeguard facility data'!$A$4:$A$312,$A219,'Safeguard facility data'!BE$4:BE$312,"&gt;0"))-(SUMIFS('Safeguard facility data'!BL$4:BL$312,'Safeguard facility data'!$A$4:$A$312,$A219,'Safeguard facility data'!BL$4:BL$312,"&gt;0"))</f>
        <v>132363</v>
      </c>
      <c r="F219" s="67">
        <f>(SUMIFS('Safeguard facility data'!BF$4:BF$312,'Safeguard facility data'!$A$4:$A$312,$A219,'Safeguard facility data'!BF$4:BF$312,"&gt;0"))-(SUMIFS('Safeguard facility data'!BM$4:BM$312,'Safeguard facility data'!$A$4:$A$312,$A219,'Safeguard facility data'!BM$4:BM$312,"&gt;0"))</f>
        <v>141510</v>
      </c>
      <c r="G219" s="67"/>
      <c r="H219" s="67"/>
      <c r="I219" s="67"/>
      <c r="J219" s="67"/>
      <c r="K219" s="67"/>
      <c r="L219" s="67"/>
      <c r="M219" s="67"/>
      <c r="N219" s="67"/>
      <c r="O219" s="67"/>
      <c r="P219" s="67"/>
      <c r="Q219" s="67"/>
    </row>
    <row r="220" spans="1:17">
      <c r="A220" s="87" t="s">
        <v>511</v>
      </c>
      <c r="B220" s="67">
        <f>(SUMIFS('Safeguard facility data'!BB$4:BB$312,'Safeguard facility data'!$A$4:$A$312,$A220,'Safeguard facility data'!BB$4:BB$312,"&gt;0"))-(SUMIFS('Safeguard facility data'!BI$4:BI$312,'Safeguard facility data'!$A$4:$A$312,$A220,'Safeguard facility data'!BI$4:BI$312,"&gt;0"))</f>
        <v>20881</v>
      </c>
      <c r="C220" s="67">
        <f>(SUMIFS('Safeguard facility data'!BC$4:BC$312,'Safeguard facility data'!$A$4:$A$312,$A220,'Safeguard facility data'!BC$4:BC$312,"&gt;0"))-(SUMIFS('Safeguard facility data'!BJ$4:BJ$312,'Safeguard facility data'!$A$4:$A$312,$A220,'Safeguard facility data'!BJ$4:BJ$312,"&gt;0"))</f>
        <v>22144</v>
      </c>
      <c r="D220" s="67">
        <f>(SUMIFS('Safeguard facility data'!BD$4:BD$312,'Safeguard facility data'!$A$4:$A$312,$A220,'Safeguard facility data'!BD$4:BD$312,"&gt;0"))-(SUMIFS('Safeguard facility data'!BK$4:BK$312,'Safeguard facility data'!$A$4:$A$312,$A220,'Safeguard facility data'!BK$4:BK$312,"&gt;0"))</f>
        <v>36728</v>
      </c>
      <c r="E220" s="67">
        <f>(SUMIFS('Safeguard facility data'!BE$4:BE$312,'Safeguard facility data'!$A$4:$A$312,$A220,'Safeguard facility data'!BE$4:BE$312,"&gt;0"))-(SUMIFS('Safeguard facility data'!BL$4:BL$312,'Safeguard facility data'!$A$4:$A$312,$A220,'Safeguard facility data'!BL$4:BL$312,"&gt;0"))</f>
        <v>39130</v>
      </c>
      <c r="F220" s="67">
        <f>(SUMIFS('Safeguard facility data'!BF$4:BF$312,'Safeguard facility data'!$A$4:$A$312,$A220,'Safeguard facility data'!BF$4:BF$312,"&gt;0"))-(SUMIFS('Safeguard facility data'!BM$4:BM$312,'Safeguard facility data'!$A$4:$A$312,$A220,'Safeguard facility data'!BM$4:BM$312,"&gt;0"))</f>
        <v>37195</v>
      </c>
      <c r="G220" s="67"/>
      <c r="H220" s="67"/>
      <c r="I220" s="67"/>
      <c r="J220" s="67"/>
      <c r="K220" s="67"/>
      <c r="L220" s="67"/>
      <c r="M220" s="67"/>
      <c r="N220" s="67"/>
      <c r="O220" s="67"/>
      <c r="P220" s="67"/>
      <c r="Q220" s="67"/>
    </row>
    <row r="221" spans="1:17">
      <c r="A221" s="87" t="s">
        <v>512</v>
      </c>
      <c r="B221" s="67">
        <f>(SUMIFS('Safeguard facility data'!BB$4:BB$312,'Safeguard facility data'!$A$4:$A$312,$A221,'Safeguard facility data'!BB$4:BB$312,"&gt;0"))-(SUMIFS('Safeguard facility data'!BI$4:BI$312,'Safeguard facility data'!$A$4:$A$312,$A221,'Safeguard facility data'!BI$4:BI$312,"&gt;0"))</f>
        <v>126979</v>
      </c>
      <c r="C221" s="67">
        <f>(SUMIFS('Safeguard facility data'!BC$4:BC$312,'Safeguard facility data'!$A$4:$A$312,$A221,'Safeguard facility data'!BC$4:BC$312,"&gt;0"))-(SUMIFS('Safeguard facility data'!BJ$4:BJ$312,'Safeguard facility data'!$A$4:$A$312,$A221,'Safeguard facility data'!BJ$4:BJ$312,"&gt;0"))</f>
        <v>228843</v>
      </c>
      <c r="D221" s="67">
        <f>(SUMIFS('Safeguard facility data'!BD$4:BD$312,'Safeguard facility data'!$A$4:$A$312,$A221,'Safeguard facility data'!BD$4:BD$312,"&gt;0"))-(SUMIFS('Safeguard facility data'!BK$4:BK$312,'Safeguard facility data'!$A$4:$A$312,$A221,'Safeguard facility data'!BK$4:BK$312,"&gt;0"))</f>
        <v>228843</v>
      </c>
      <c r="E221" s="67">
        <f>(SUMIFS('Safeguard facility data'!BE$4:BE$312,'Safeguard facility data'!$A$4:$A$312,$A221,'Safeguard facility data'!BE$4:BE$312,"&gt;0"))-(SUMIFS('Safeguard facility data'!BL$4:BL$312,'Safeguard facility data'!$A$4:$A$312,$A221,'Safeguard facility data'!BL$4:BL$312,"&gt;0"))</f>
        <v>228843</v>
      </c>
      <c r="F221" s="67">
        <f>(SUMIFS('Safeguard facility data'!BF$4:BF$312,'Safeguard facility data'!$A$4:$A$312,$A221,'Safeguard facility data'!BF$4:BF$312,"&gt;0"))-(SUMIFS('Safeguard facility data'!BM$4:BM$312,'Safeguard facility data'!$A$4:$A$312,$A221,'Safeguard facility data'!BM$4:BM$312,"&gt;0"))</f>
        <v>228843</v>
      </c>
      <c r="G221" s="67"/>
      <c r="H221" s="67"/>
      <c r="I221" s="67"/>
      <c r="J221" s="67"/>
      <c r="K221" s="67"/>
      <c r="L221" s="67"/>
      <c r="M221" s="67"/>
      <c r="N221" s="67"/>
      <c r="O221" s="67"/>
      <c r="P221" s="67"/>
      <c r="Q221" s="67"/>
    </row>
    <row r="222" spans="1:17">
      <c r="A222" s="87" t="s">
        <v>513</v>
      </c>
      <c r="B222" s="67">
        <f>(SUMIFS('Safeguard facility data'!BB$4:BB$312,'Safeguard facility data'!$A$4:$A$312,$A222,'Safeguard facility data'!BB$4:BB$312,"&gt;0"))-(SUMIFS('Safeguard facility data'!BI$4:BI$312,'Safeguard facility data'!$A$4:$A$312,$A222,'Safeguard facility data'!BI$4:BI$312,"&gt;0"))</f>
        <v>336075</v>
      </c>
      <c r="C222" s="67">
        <f>(SUMIFS('Safeguard facility data'!BC$4:BC$312,'Safeguard facility data'!$A$4:$A$312,$A222,'Safeguard facility data'!BC$4:BC$312,"&gt;0"))-(SUMIFS('Safeguard facility data'!BJ$4:BJ$312,'Safeguard facility data'!$A$4:$A$312,$A222,'Safeguard facility data'!BJ$4:BJ$312,"&gt;0"))</f>
        <v>383315</v>
      </c>
      <c r="D222" s="67">
        <f>(SUMIFS('Safeguard facility data'!BD$4:BD$312,'Safeguard facility data'!$A$4:$A$312,$A222,'Safeguard facility data'!BD$4:BD$312,"&gt;0"))-(SUMIFS('Safeguard facility data'!BK$4:BK$312,'Safeguard facility data'!$A$4:$A$312,$A222,'Safeguard facility data'!BK$4:BK$312,"&gt;0"))</f>
        <v>409096</v>
      </c>
      <c r="E222" s="67">
        <f>(SUMIFS('Safeguard facility data'!BE$4:BE$312,'Safeguard facility data'!$A$4:$A$312,$A222,'Safeguard facility data'!BE$4:BE$312,"&gt;0"))-(SUMIFS('Safeguard facility data'!BL$4:BL$312,'Safeguard facility data'!$A$4:$A$312,$A222,'Safeguard facility data'!BL$4:BL$312,"&gt;0"))</f>
        <v>1344012</v>
      </c>
      <c r="F222" s="67">
        <f>(SUMIFS('Safeguard facility data'!BF$4:BF$312,'Safeguard facility data'!$A$4:$A$312,$A222,'Safeguard facility data'!BF$4:BF$312,"&gt;0"))-(SUMIFS('Safeguard facility data'!BM$4:BM$312,'Safeguard facility data'!$A$4:$A$312,$A222,'Safeguard facility data'!BM$4:BM$312,"&gt;0"))</f>
        <v>2226945</v>
      </c>
      <c r="G222" s="67"/>
      <c r="H222" s="67"/>
      <c r="I222" s="67"/>
      <c r="J222" s="67"/>
      <c r="K222" s="67"/>
      <c r="L222" s="67"/>
      <c r="M222" s="67"/>
      <c r="N222" s="67"/>
      <c r="O222" s="67"/>
      <c r="P222" s="67"/>
      <c r="Q222" s="67"/>
    </row>
    <row r="223" spans="1:17">
      <c r="A223" s="87" t="s">
        <v>514</v>
      </c>
      <c r="B223" s="67">
        <f>(SUMIFS('Safeguard facility data'!BB$4:BB$312,'Safeguard facility data'!$A$4:$A$312,$A223,'Safeguard facility data'!BB$4:BB$312,"&gt;0"))-(SUMIFS('Safeguard facility data'!BI$4:BI$312,'Safeguard facility data'!$A$4:$A$312,$A223,'Safeguard facility data'!BI$4:BI$312,"&gt;0"))</f>
        <v>21684</v>
      </c>
      <c r="C223" s="67">
        <f>(SUMIFS('Safeguard facility data'!BC$4:BC$312,'Safeguard facility data'!$A$4:$A$312,$A223,'Safeguard facility data'!BC$4:BC$312,"&gt;0"))-(SUMIFS('Safeguard facility data'!BJ$4:BJ$312,'Safeguard facility data'!$A$4:$A$312,$A223,'Safeguard facility data'!BJ$4:BJ$312,"&gt;0"))</f>
        <v>3729</v>
      </c>
      <c r="D223" s="67">
        <f>(SUMIFS('Safeguard facility data'!BD$4:BD$312,'Safeguard facility data'!$A$4:$A$312,$A223,'Safeguard facility data'!BD$4:BD$312,"&gt;0"))-(SUMIFS('Safeguard facility data'!BK$4:BK$312,'Safeguard facility data'!$A$4:$A$312,$A223,'Safeguard facility data'!BK$4:BK$312,"&gt;0"))</f>
        <v>5913</v>
      </c>
      <c r="E223" s="67">
        <f>(SUMIFS('Safeguard facility data'!BE$4:BE$312,'Safeguard facility data'!$A$4:$A$312,$A223,'Safeguard facility data'!BE$4:BE$312,"&gt;0"))-(SUMIFS('Safeguard facility data'!BL$4:BL$312,'Safeguard facility data'!$A$4:$A$312,$A223,'Safeguard facility data'!BL$4:BL$312,"&gt;0"))</f>
        <v>11842</v>
      </c>
      <c r="F223" s="67">
        <f>(SUMIFS('Safeguard facility data'!BF$4:BF$312,'Safeguard facility data'!$A$4:$A$312,$A223,'Safeguard facility data'!BF$4:BF$312,"&gt;0"))-(SUMIFS('Safeguard facility data'!BM$4:BM$312,'Safeguard facility data'!$A$4:$A$312,$A223,'Safeguard facility data'!BM$4:BM$312,"&gt;0"))</f>
        <v>47057</v>
      </c>
      <c r="G223" s="67"/>
      <c r="H223" s="67"/>
      <c r="I223" s="67"/>
      <c r="J223" s="67"/>
      <c r="K223" s="67"/>
      <c r="L223" s="67"/>
      <c r="M223" s="67"/>
      <c r="N223" s="67"/>
      <c r="O223" s="67"/>
      <c r="P223" s="67"/>
      <c r="Q223" s="67"/>
    </row>
    <row r="224" spans="1:17">
      <c r="A224" s="87" t="s">
        <v>515</v>
      </c>
      <c r="B224" s="67">
        <f>(SUMIFS('Safeguard facility data'!BB$4:BB$312,'Safeguard facility data'!$A$4:$A$312,$A224,'Safeguard facility data'!BB$4:BB$312,"&gt;0"))-(SUMIFS('Safeguard facility data'!BI$4:BI$312,'Safeguard facility data'!$A$4:$A$312,$A224,'Safeguard facility data'!BI$4:BI$312,"&gt;0"))</f>
        <v>-43319</v>
      </c>
      <c r="C224" s="67">
        <f>(SUMIFS('Safeguard facility data'!BC$4:BC$312,'Safeguard facility data'!$A$4:$A$312,$A224,'Safeguard facility data'!BC$4:BC$312,"&gt;0"))-(SUMIFS('Safeguard facility data'!BJ$4:BJ$312,'Safeguard facility data'!$A$4:$A$312,$A224,'Safeguard facility data'!BJ$4:BJ$312,"&gt;0"))</f>
        <v>1307</v>
      </c>
      <c r="D224" s="67">
        <f>(SUMIFS('Safeguard facility data'!BD$4:BD$312,'Safeguard facility data'!$A$4:$A$312,$A224,'Safeguard facility data'!BD$4:BD$312,"&gt;0"))-(SUMIFS('Safeguard facility data'!BK$4:BK$312,'Safeguard facility data'!$A$4:$A$312,$A224,'Safeguard facility data'!BK$4:BK$312,"&gt;0"))</f>
        <v>19991</v>
      </c>
      <c r="E224" s="67">
        <f>(SUMIFS('Safeguard facility data'!BE$4:BE$312,'Safeguard facility data'!$A$4:$A$312,$A224,'Safeguard facility data'!BE$4:BE$312,"&gt;0"))-(SUMIFS('Safeguard facility data'!BL$4:BL$312,'Safeguard facility data'!$A$4:$A$312,$A224,'Safeguard facility data'!BL$4:BL$312,"&gt;0"))</f>
        <v>17532</v>
      </c>
      <c r="F224" s="67">
        <f>(SUMIFS('Safeguard facility data'!BF$4:BF$312,'Safeguard facility data'!$A$4:$A$312,$A224,'Safeguard facility data'!BF$4:BF$312,"&gt;0"))-(SUMIFS('Safeguard facility data'!BM$4:BM$312,'Safeguard facility data'!$A$4:$A$312,$A224,'Safeguard facility data'!BM$4:BM$312,"&gt;0"))</f>
        <v>89519</v>
      </c>
      <c r="G224" s="67"/>
      <c r="H224" s="67"/>
      <c r="I224" s="67"/>
      <c r="J224" s="67"/>
      <c r="K224" s="67"/>
      <c r="L224" s="67"/>
      <c r="M224" s="67"/>
      <c r="N224" s="67"/>
      <c r="O224" s="67"/>
      <c r="P224" s="67"/>
      <c r="Q224" s="67"/>
    </row>
    <row r="225" spans="1:17">
      <c r="A225" s="87" t="s">
        <v>516</v>
      </c>
      <c r="B225" s="67">
        <f>(SUMIFS('Safeguard facility data'!BB$4:BB$312,'Safeguard facility data'!$A$4:$A$312,$A225,'Safeguard facility data'!BB$4:BB$312,"&gt;0"))-(SUMIFS('Safeguard facility data'!BI$4:BI$312,'Safeguard facility data'!$A$4:$A$312,$A225,'Safeguard facility data'!BI$4:BI$312,"&gt;0"))</f>
        <v>430469</v>
      </c>
      <c r="C225" s="67">
        <f>(SUMIFS('Safeguard facility data'!BC$4:BC$312,'Safeguard facility data'!$A$4:$A$312,$A225,'Safeguard facility data'!BC$4:BC$312,"&gt;0"))-(SUMIFS('Safeguard facility data'!BJ$4:BJ$312,'Safeguard facility data'!$A$4:$A$312,$A225,'Safeguard facility data'!BJ$4:BJ$312,"&gt;0"))</f>
        <v>395915</v>
      </c>
      <c r="D225" s="67">
        <f>(SUMIFS('Safeguard facility data'!BD$4:BD$312,'Safeguard facility data'!$A$4:$A$312,$A225,'Safeguard facility data'!BD$4:BD$312,"&gt;0"))-(SUMIFS('Safeguard facility data'!BK$4:BK$312,'Safeguard facility data'!$A$4:$A$312,$A225,'Safeguard facility data'!BK$4:BK$312,"&gt;0"))</f>
        <v>564974</v>
      </c>
      <c r="E225" s="67">
        <f>(SUMIFS('Safeguard facility data'!BE$4:BE$312,'Safeguard facility data'!$A$4:$A$312,$A225,'Safeguard facility data'!BE$4:BE$312,"&gt;0"))-(SUMIFS('Safeguard facility data'!BL$4:BL$312,'Safeguard facility data'!$A$4:$A$312,$A225,'Safeguard facility data'!BL$4:BL$312,"&gt;0"))</f>
        <v>573801</v>
      </c>
      <c r="F225" s="67">
        <f>(SUMIFS('Safeguard facility data'!BF$4:BF$312,'Safeguard facility data'!$A$4:$A$312,$A225,'Safeguard facility data'!BF$4:BF$312,"&gt;0"))-(SUMIFS('Safeguard facility data'!BM$4:BM$312,'Safeguard facility data'!$A$4:$A$312,$A225,'Safeguard facility data'!BM$4:BM$312,"&gt;0"))</f>
        <v>304880</v>
      </c>
      <c r="G225" s="67"/>
      <c r="H225" s="67"/>
      <c r="I225" s="67"/>
      <c r="J225" s="67"/>
      <c r="K225" s="67"/>
      <c r="L225" s="67"/>
      <c r="M225" s="67"/>
      <c r="N225" s="67"/>
      <c r="O225" s="67"/>
      <c r="P225" s="67"/>
      <c r="Q225" s="67"/>
    </row>
    <row r="226" spans="1:17">
      <c r="A226" s="87" t="s">
        <v>516</v>
      </c>
      <c r="B226" s="67">
        <f>(SUMIFS('Safeguard facility data'!BB$4:BB$312,'Safeguard facility data'!$A$4:$A$312,$A226,'Safeguard facility data'!BB$4:BB$312,"&gt;0"))-(SUMIFS('Safeguard facility data'!BI$4:BI$312,'Safeguard facility data'!$A$4:$A$312,$A226,'Safeguard facility data'!BI$4:BI$312,"&gt;0"))</f>
        <v>430469</v>
      </c>
      <c r="C226" s="67">
        <f>(SUMIFS('Safeguard facility data'!BC$4:BC$312,'Safeguard facility data'!$A$4:$A$312,$A226,'Safeguard facility data'!BC$4:BC$312,"&gt;0"))-(SUMIFS('Safeguard facility data'!BJ$4:BJ$312,'Safeguard facility data'!$A$4:$A$312,$A226,'Safeguard facility data'!BJ$4:BJ$312,"&gt;0"))</f>
        <v>395915</v>
      </c>
      <c r="D226" s="67">
        <f>(SUMIFS('Safeguard facility data'!BD$4:BD$312,'Safeguard facility data'!$A$4:$A$312,$A226,'Safeguard facility data'!BD$4:BD$312,"&gt;0"))-(SUMIFS('Safeguard facility data'!BK$4:BK$312,'Safeguard facility data'!$A$4:$A$312,$A226,'Safeguard facility data'!BK$4:BK$312,"&gt;0"))</f>
        <v>564974</v>
      </c>
      <c r="E226" s="67">
        <f>(SUMIFS('Safeguard facility data'!BE$4:BE$312,'Safeguard facility data'!$A$4:$A$312,$A226,'Safeguard facility data'!BE$4:BE$312,"&gt;0"))-(SUMIFS('Safeguard facility data'!BL$4:BL$312,'Safeguard facility data'!$A$4:$A$312,$A226,'Safeguard facility data'!BL$4:BL$312,"&gt;0"))</f>
        <v>573801</v>
      </c>
      <c r="F226" s="67">
        <f>(SUMIFS('Safeguard facility data'!BF$4:BF$312,'Safeguard facility data'!$A$4:$A$312,$A226,'Safeguard facility data'!BF$4:BF$312,"&gt;0"))-(SUMIFS('Safeguard facility data'!BM$4:BM$312,'Safeguard facility data'!$A$4:$A$312,$A226,'Safeguard facility data'!BM$4:BM$312,"&gt;0"))</f>
        <v>304880</v>
      </c>
      <c r="G226" s="67"/>
      <c r="H226" s="67"/>
      <c r="I226" s="67"/>
      <c r="J226" s="67"/>
      <c r="K226" s="67"/>
      <c r="L226" s="67"/>
      <c r="M226" s="67"/>
      <c r="N226" s="67"/>
      <c r="O226" s="67"/>
      <c r="P226" s="67"/>
      <c r="Q226" s="67"/>
    </row>
    <row r="227" spans="1:17">
      <c r="A227" s="87" t="s">
        <v>517</v>
      </c>
      <c r="B227" s="67">
        <f>(SUMIFS('Safeguard facility data'!BB$4:BB$312,'Safeguard facility data'!$A$4:$A$312,$A227,'Safeguard facility data'!BB$4:BB$312,"&gt;0"))-(SUMIFS('Safeguard facility data'!BI$4:BI$312,'Safeguard facility data'!$A$4:$A$312,$A227,'Safeguard facility data'!BI$4:BI$312,"&gt;0"))</f>
        <v>192809</v>
      </c>
      <c r="C227" s="67">
        <f>(SUMIFS('Safeguard facility data'!BC$4:BC$312,'Safeguard facility data'!$A$4:$A$312,$A227,'Safeguard facility data'!BC$4:BC$312,"&gt;0"))-(SUMIFS('Safeguard facility data'!BJ$4:BJ$312,'Safeguard facility data'!$A$4:$A$312,$A227,'Safeguard facility data'!BJ$4:BJ$312,"&gt;0"))</f>
        <v>192809</v>
      </c>
      <c r="D227" s="67">
        <f>(SUMIFS('Safeguard facility data'!BD$4:BD$312,'Safeguard facility data'!$A$4:$A$312,$A227,'Safeguard facility data'!BD$4:BD$312,"&gt;0"))-(SUMIFS('Safeguard facility data'!BK$4:BK$312,'Safeguard facility data'!$A$4:$A$312,$A227,'Safeguard facility data'!BK$4:BK$312,"&gt;0"))</f>
        <v>192809</v>
      </c>
      <c r="E227" s="67">
        <f>(SUMIFS('Safeguard facility data'!BE$4:BE$312,'Safeguard facility data'!$A$4:$A$312,$A227,'Safeguard facility data'!BE$4:BE$312,"&gt;0"))-(SUMIFS('Safeguard facility data'!BL$4:BL$312,'Safeguard facility data'!$A$4:$A$312,$A227,'Safeguard facility data'!BL$4:BL$312,"&gt;0"))</f>
        <v>192809</v>
      </c>
      <c r="F227" s="67">
        <f>(SUMIFS('Safeguard facility data'!BF$4:BF$312,'Safeguard facility data'!$A$4:$A$312,$A227,'Safeguard facility data'!BF$4:BF$312,"&gt;0"))-(SUMIFS('Safeguard facility data'!BM$4:BM$312,'Safeguard facility data'!$A$4:$A$312,$A227,'Safeguard facility data'!BM$4:BM$312,"&gt;0"))</f>
        <v>192809</v>
      </c>
      <c r="G227" s="67"/>
      <c r="H227" s="67"/>
      <c r="I227" s="67"/>
      <c r="J227" s="67"/>
      <c r="K227" s="67"/>
      <c r="L227" s="67"/>
      <c r="M227" s="67"/>
      <c r="N227" s="67"/>
      <c r="O227" s="67"/>
      <c r="P227" s="67"/>
      <c r="Q227" s="67"/>
    </row>
    <row r="228" spans="1:17">
      <c r="A228" s="87" t="s">
        <v>518</v>
      </c>
      <c r="B228" s="67">
        <f>(SUMIFS('Safeguard facility data'!BB$4:BB$312,'Safeguard facility data'!$A$4:$A$312,$A228,'Safeguard facility data'!BB$4:BB$312,"&gt;0"))-(SUMIFS('Safeguard facility data'!BI$4:BI$312,'Safeguard facility data'!$A$4:$A$312,$A228,'Safeguard facility data'!BI$4:BI$312,"&gt;0"))</f>
        <v>149010</v>
      </c>
      <c r="C228" s="67">
        <f>(SUMIFS('Safeguard facility data'!BC$4:BC$312,'Safeguard facility data'!$A$4:$A$312,$A228,'Safeguard facility data'!BC$4:BC$312,"&gt;0"))-(SUMIFS('Safeguard facility data'!BJ$4:BJ$312,'Safeguard facility data'!$A$4:$A$312,$A228,'Safeguard facility data'!BJ$4:BJ$312,"&gt;0"))</f>
        <v>149010</v>
      </c>
      <c r="D228" s="67">
        <f>(SUMIFS('Safeguard facility data'!BD$4:BD$312,'Safeguard facility data'!$A$4:$A$312,$A228,'Safeguard facility data'!BD$4:BD$312,"&gt;0"))-(SUMIFS('Safeguard facility data'!BK$4:BK$312,'Safeguard facility data'!$A$4:$A$312,$A228,'Safeguard facility data'!BK$4:BK$312,"&gt;0"))</f>
        <v>149010</v>
      </c>
      <c r="E228" s="67">
        <f>(SUMIFS('Safeguard facility data'!BE$4:BE$312,'Safeguard facility data'!$A$4:$A$312,$A228,'Safeguard facility data'!BE$4:BE$312,"&gt;0"))-(SUMIFS('Safeguard facility data'!BL$4:BL$312,'Safeguard facility data'!$A$4:$A$312,$A228,'Safeguard facility data'!BL$4:BL$312,"&gt;0"))</f>
        <v>149010</v>
      </c>
      <c r="F228" s="67">
        <f>(SUMIFS('Safeguard facility data'!BF$4:BF$312,'Safeguard facility data'!$A$4:$A$312,$A228,'Safeguard facility data'!BF$4:BF$312,"&gt;0"))-(SUMIFS('Safeguard facility data'!BM$4:BM$312,'Safeguard facility data'!$A$4:$A$312,$A228,'Safeguard facility data'!BM$4:BM$312,"&gt;0"))</f>
        <v>149010</v>
      </c>
      <c r="G228" s="67"/>
      <c r="H228" s="67"/>
      <c r="I228" s="67"/>
      <c r="J228" s="67"/>
      <c r="K228" s="67"/>
      <c r="L228" s="67"/>
      <c r="M228" s="67"/>
      <c r="N228" s="67"/>
      <c r="O228" s="67"/>
      <c r="P228" s="67"/>
      <c r="Q228" s="67"/>
    </row>
    <row r="229" spans="1:17">
      <c r="A229" s="54" t="s">
        <v>519</v>
      </c>
      <c r="B229" s="67">
        <f>(SUMIFS('Safeguard facility data'!BB$4:BB$312,'Safeguard facility data'!$A$4:$A$312,$A229,'Safeguard facility data'!BB$4:BB$312,"&gt;0"))-(SUMIFS('Safeguard facility data'!BI$4:BI$312,'Safeguard facility data'!$A$4:$A$312,$A229,'Safeguard facility data'!BI$4:BI$312,"&gt;0"))</f>
        <v>0</v>
      </c>
      <c r="C229" s="67">
        <f>(SUMIFS('Safeguard facility data'!BC$4:BC$312,'Safeguard facility data'!$A$4:$A$312,$A229,'Safeguard facility data'!BC$4:BC$312,"&gt;0"))-(SUMIFS('Safeguard facility data'!BJ$4:BJ$312,'Safeguard facility data'!$A$4:$A$312,$A229,'Safeguard facility data'!BJ$4:BJ$312,"&gt;0"))</f>
        <v>0</v>
      </c>
      <c r="D229" s="67">
        <f>(SUMIFS('Safeguard facility data'!BD$4:BD$312,'Safeguard facility data'!$A$4:$A$312,$A229,'Safeguard facility data'!BD$4:BD$312,"&gt;0"))-(SUMIFS('Safeguard facility data'!BK$4:BK$312,'Safeguard facility data'!$A$4:$A$312,$A229,'Safeguard facility data'!BK$4:BK$312,"&gt;0"))</f>
        <v>0</v>
      </c>
      <c r="E229" s="67">
        <f>(SUMIFS('Safeguard facility data'!BE$4:BE$312,'Safeguard facility data'!$A$4:$A$312,$A229,'Safeguard facility data'!BE$4:BE$312,"&gt;0"))-(SUMIFS('Safeguard facility data'!BL$4:BL$312,'Safeguard facility data'!$A$4:$A$312,$A229,'Safeguard facility data'!BL$4:BL$312,"&gt;0"))</f>
        <v>0</v>
      </c>
      <c r="F229" s="67">
        <f>(SUMIFS('Safeguard facility data'!BF$4:BF$312,'Safeguard facility data'!$A$4:$A$312,$A229,'Safeguard facility data'!BF$4:BF$312,"&gt;0"))-(SUMIFS('Safeguard facility data'!BM$4:BM$312,'Safeguard facility data'!$A$4:$A$312,$A229,'Safeguard facility data'!BM$4:BM$312,"&gt;0"))</f>
        <v>-1464</v>
      </c>
      <c r="G229" s="67"/>
      <c r="H229" s="67"/>
      <c r="I229" s="67"/>
      <c r="J229" s="67"/>
      <c r="K229" s="67"/>
      <c r="L229" s="67"/>
      <c r="M229" s="67"/>
      <c r="N229" s="67"/>
      <c r="O229" s="67"/>
      <c r="P229" s="67"/>
      <c r="Q229" s="67"/>
    </row>
    <row r="230" spans="1:17">
      <c r="A230" s="87" t="s">
        <v>520</v>
      </c>
      <c r="B230" s="67">
        <f>(SUMIFS('Safeguard facility data'!BB$4:BB$312,'Safeguard facility data'!$A$4:$A$312,$A230,'Safeguard facility data'!BB$4:BB$312,"&gt;0"))-(SUMIFS('Safeguard facility data'!BI$4:BI$312,'Safeguard facility data'!$A$4:$A$312,$A230,'Safeguard facility data'!BI$4:BI$312,"&gt;0"))</f>
        <v>102040</v>
      </c>
      <c r="C230" s="67">
        <f>(SUMIFS('Safeguard facility data'!BC$4:BC$312,'Safeguard facility data'!$A$4:$A$312,$A230,'Safeguard facility data'!BC$4:BC$312,"&gt;0"))-(SUMIFS('Safeguard facility data'!BJ$4:BJ$312,'Safeguard facility data'!$A$4:$A$312,$A230,'Safeguard facility data'!BJ$4:BJ$312,"&gt;0"))</f>
        <v>1809</v>
      </c>
      <c r="D230" s="67">
        <f>(SUMIFS('Safeguard facility data'!BD$4:BD$312,'Safeguard facility data'!$A$4:$A$312,$A230,'Safeguard facility data'!BD$4:BD$312,"&gt;0"))-(SUMIFS('Safeguard facility data'!BK$4:BK$312,'Safeguard facility data'!$A$4:$A$312,$A230,'Safeguard facility data'!BK$4:BK$312,"&gt;0"))</f>
        <v>193458</v>
      </c>
      <c r="E230" s="67">
        <f>(SUMIFS('Safeguard facility data'!BE$4:BE$312,'Safeguard facility data'!$A$4:$A$312,$A230,'Safeguard facility data'!BE$4:BE$312,"&gt;0"))-(SUMIFS('Safeguard facility data'!BL$4:BL$312,'Safeguard facility data'!$A$4:$A$312,$A230,'Safeguard facility data'!BL$4:BL$312,"&gt;0"))</f>
        <v>292333</v>
      </c>
      <c r="F230" s="67">
        <f>(SUMIFS('Safeguard facility data'!BF$4:BF$312,'Safeguard facility data'!$A$4:$A$312,$A230,'Safeguard facility data'!BF$4:BF$312,"&gt;0"))-(SUMIFS('Safeguard facility data'!BM$4:BM$312,'Safeguard facility data'!$A$4:$A$312,$A230,'Safeguard facility data'!BM$4:BM$312,"&gt;0"))</f>
        <v>133898</v>
      </c>
      <c r="G230" s="67"/>
      <c r="H230" s="67"/>
      <c r="I230" s="67"/>
      <c r="J230" s="67"/>
      <c r="K230" s="67"/>
      <c r="L230" s="67"/>
      <c r="M230" s="67"/>
      <c r="N230" s="67"/>
      <c r="O230" s="67"/>
      <c r="P230" s="67"/>
      <c r="Q230" s="67"/>
    </row>
    <row r="231" spans="1:17">
      <c r="A231" s="87" t="s">
        <v>521</v>
      </c>
      <c r="B231" s="67">
        <f>(SUMIFS('Safeguard facility data'!BB$4:BB$312,'Safeguard facility data'!$A$4:$A$312,$A231,'Safeguard facility data'!BB$4:BB$312,"&gt;0"))-(SUMIFS('Safeguard facility data'!BI$4:BI$312,'Safeguard facility data'!$A$4:$A$312,$A231,'Safeguard facility data'!BI$4:BI$312,"&gt;0"))</f>
        <v>463497</v>
      </c>
      <c r="C231" s="67">
        <f>(SUMIFS('Safeguard facility data'!BC$4:BC$312,'Safeguard facility data'!$A$4:$A$312,$A231,'Safeguard facility data'!BC$4:BC$312,"&gt;0"))-(SUMIFS('Safeguard facility data'!BJ$4:BJ$312,'Safeguard facility data'!$A$4:$A$312,$A231,'Safeguard facility data'!BJ$4:BJ$312,"&gt;0"))</f>
        <v>666772</v>
      </c>
      <c r="D231" s="67">
        <f>(SUMIFS('Safeguard facility data'!BD$4:BD$312,'Safeguard facility data'!$A$4:$A$312,$A231,'Safeguard facility data'!BD$4:BD$312,"&gt;0"))-(SUMIFS('Safeguard facility data'!BK$4:BK$312,'Safeguard facility data'!$A$4:$A$312,$A231,'Safeguard facility data'!BK$4:BK$312,"&gt;0"))</f>
        <v>453490</v>
      </c>
      <c r="E231" s="67">
        <f>(SUMIFS('Safeguard facility data'!BE$4:BE$312,'Safeguard facility data'!$A$4:$A$312,$A231,'Safeguard facility data'!BE$4:BE$312,"&gt;0"))-(SUMIFS('Safeguard facility data'!BL$4:BL$312,'Safeguard facility data'!$A$4:$A$312,$A231,'Safeguard facility data'!BL$4:BL$312,"&gt;0"))</f>
        <v>446123</v>
      </c>
      <c r="F231" s="67">
        <f>(SUMIFS('Safeguard facility data'!BF$4:BF$312,'Safeguard facility data'!$A$4:$A$312,$A231,'Safeguard facility data'!BF$4:BF$312,"&gt;0"))-(SUMIFS('Safeguard facility data'!BM$4:BM$312,'Safeguard facility data'!$A$4:$A$312,$A231,'Safeguard facility data'!BM$4:BM$312,"&gt;0"))</f>
        <v>457810</v>
      </c>
      <c r="G231" s="67"/>
      <c r="H231" s="67"/>
      <c r="I231" s="67"/>
      <c r="J231" s="67"/>
      <c r="K231" s="67"/>
      <c r="L231" s="67"/>
      <c r="M231" s="67"/>
      <c r="N231" s="67"/>
      <c r="O231" s="67"/>
      <c r="P231" s="67"/>
      <c r="Q231" s="67"/>
    </row>
    <row r="232" spans="1:17">
      <c r="A232" s="87" t="s">
        <v>522</v>
      </c>
      <c r="B232" s="67">
        <f>(SUMIFS('Safeguard facility data'!BB$4:BB$312,'Safeguard facility data'!$A$4:$A$312,$A232,'Safeguard facility data'!BB$4:BB$312,"&gt;0"))-(SUMIFS('Safeguard facility data'!BI$4:BI$312,'Safeguard facility data'!$A$4:$A$312,$A232,'Safeguard facility data'!BI$4:BI$312,"&gt;0"))</f>
        <v>523831</v>
      </c>
      <c r="C232" s="67">
        <f>(SUMIFS('Safeguard facility data'!BC$4:BC$312,'Safeguard facility data'!$A$4:$A$312,$A232,'Safeguard facility data'!BC$4:BC$312,"&gt;0"))-(SUMIFS('Safeguard facility data'!BJ$4:BJ$312,'Safeguard facility data'!$A$4:$A$312,$A232,'Safeguard facility data'!BJ$4:BJ$312,"&gt;0"))</f>
        <v>537592</v>
      </c>
      <c r="D232" s="67">
        <f>(SUMIFS('Safeguard facility data'!BD$4:BD$312,'Safeguard facility data'!$A$4:$A$312,$A232,'Safeguard facility data'!BD$4:BD$312,"&gt;0"))-(SUMIFS('Safeguard facility data'!BK$4:BK$312,'Safeguard facility data'!$A$4:$A$312,$A232,'Safeguard facility data'!BK$4:BK$312,"&gt;0"))</f>
        <v>540258</v>
      </c>
      <c r="E232" s="67">
        <f>(SUMIFS('Safeguard facility data'!BE$4:BE$312,'Safeguard facility data'!$A$4:$A$312,$A232,'Safeguard facility data'!BE$4:BE$312,"&gt;0"))-(SUMIFS('Safeguard facility data'!BL$4:BL$312,'Safeguard facility data'!$A$4:$A$312,$A232,'Safeguard facility data'!BL$4:BL$312,"&gt;0"))</f>
        <v>518463</v>
      </c>
      <c r="F232" s="67">
        <f>(SUMIFS('Safeguard facility data'!BF$4:BF$312,'Safeguard facility data'!$A$4:$A$312,$A232,'Safeguard facility data'!BF$4:BF$312,"&gt;0"))-(SUMIFS('Safeguard facility data'!BM$4:BM$312,'Safeguard facility data'!$A$4:$A$312,$A232,'Safeguard facility data'!BM$4:BM$312,"&gt;0"))</f>
        <v>100913</v>
      </c>
      <c r="G232" s="67"/>
      <c r="H232" s="67"/>
      <c r="I232" s="67"/>
      <c r="J232" s="67"/>
      <c r="K232" s="67"/>
      <c r="L232" s="67"/>
      <c r="M232" s="67"/>
      <c r="N232" s="67"/>
      <c r="O232" s="67"/>
      <c r="P232" s="67"/>
      <c r="Q232" s="67"/>
    </row>
    <row r="233" spans="1:17">
      <c r="A233" s="87" t="s">
        <v>523</v>
      </c>
      <c r="B233" s="67">
        <f>(SUMIFS('Safeguard facility data'!BB$4:BB$312,'Safeguard facility data'!$A$4:$A$312,$A233,'Safeguard facility data'!BB$4:BB$312,"&gt;0"))-(SUMIFS('Safeguard facility data'!BI$4:BI$312,'Safeguard facility data'!$A$4:$A$312,$A233,'Safeguard facility data'!BI$4:BI$312,"&gt;0"))</f>
        <v>10367</v>
      </c>
      <c r="C233" s="67">
        <f>(SUMIFS('Safeguard facility data'!BC$4:BC$312,'Safeguard facility data'!$A$4:$A$312,$A233,'Safeguard facility data'!BC$4:BC$312,"&gt;0"))-(SUMIFS('Safeguard facility data'!BJ$4:BJ$312,'Safeguard facility data'!$A$4:$A$312,$A233,'Safeguard facility data'!BJ$4:BJ$312,"&gt;0"))</f>
        <v>136839</v>
      </c>
      <c r="D233" s="67">
        <f>(SUMIFS('Safeguard facility data'!BD$4:BD$312,'Safeguard facility data'!$A$4:$A$312,$A233,'Safeguard facility data'!BD$4:BD$312,"&gt;0"))-(SUMIFS('Safeguard facility data'!BK$4:BK$312,'Safeguard facility data'!$A$4:$A$312,$A233,'Safeguard facility data'!BK$4:BK$312,"&gt;0"))</f>
        <v>27620</v>
      </c>
      <c r="E233" s="67">
        <f>(SUMIFS('Safeguard facility data'!BE$4:BE$312,'Safeguard facility data'!$A$4:$A$312,$A233,'Safeguard facility data'!BE$4:BE$312,"&gt;0"))-(SUMIFS('Safeguard facility data'!BL$4:BL$312,'Safeguard facility data'!$A$4:$A$312,$A233,'Safeguard facility data'!BL$4:BL$312,"&gt;0"))</f>
        <v>115096</v>
      </c>
      <c r="F233" s="67">
        <f>(SUMIFS('Safeguard facility data'!BF$4:BF$312,'Safeguard facility data'!$A$4:$A$312,$A233,'Safeguard facility data'!BF$4:BF$312,"&gt;0"))-(SUMIFS('Safeguard facility data'!BM$4:BM$312,'Safeguard facility data'!$A$4:$A$312,$A233,'Safeguard facility data'!BM$4:BM$312,"&gt;0"))</f>
        <v>70434</v>
      </c>
      <c r="G233" s="67"/>
      <c r="H233" s="67"/>
      <c r="I233" s="67"/>
      <c r="J233" s="67"/>
      <c r="K233" s="67"/>
      <c r="L233" s="67"/>
      <c r="M233" s="67"/>
      <c r="N233" s="67"/>
      <c r="O233" s="67"/>
      <c r="P233" s="67"/>
      <c r="Q233" s="67"/>
    </row>
    <row r="234" spans="1:17">
      <c r="A234" s="87" t="s">
        <v>524</v>
      </c>
      <c r="B234" s="67">
        <f>(SUMIFS('Safeguard facility data'!BB$4:BB$312,'Safeguard facility data'!$A$4:$A$312,$A234,'Safeguard facility data'!BB$4:BB$312,"&gt;0"))-(SUMIFS('Safeguard facility data'!BI$4:BI$312,'Safeguard facility data'!$A$4:$A$312,$A234,'Safeguard facility data'!BI$4:BI$312,"&gt;0"))</f>
        <v>13442</v>
      </c>
      <c r="C234" s="67">
        <f>(SUMIFS('Safeguard facility data'!BC$4:BC$312,'Safeguard facility data'!$A$4:$A$312,$A234,'Safeguard facility data'!BC$4:BC$312,"&gt;0"))-(SUMIFS('Safeguard facility data'!BJ$4:BJ$312,'Safeguard facility data'!$A$4:$A$312,$A234,'Safeguard facility data'!BJ$4:BJ$312,"&gt;0"))</f>
        <v>5897</v>
      </c>
      <c r="D234" s="67">
        <f>(SUMIFS('Safeguard facility data'!BD$4:BD$312,'Safeguard facility data'!$A$4:$A$312,$A234,'Safeguard facility data'!BD$4:BD$312,"&gt;0"))-(SUMIFS('Safeguard facility data'!BK$4:BK$312,'Safeguard facility data'!$A$4:$A$312,$A234,'Safeguard facility data'!BK$4:BK$312,"&gt;0"))</f>
        <v>24582</v>
      </c>
      <c r="E234" s="67">
        <f>(SUMIFS('Safeguard facility data'!BE$4:BE$312,'Safeguard facility data'!$A$4:$A$312,$A234,'Safeguard facility data'!BE$4:BE$312,"&gt;0"))-(SUMIFS('Safeguard facility data'!BL$4:BL$312,'Safeguard facility data'!$A$4:$A$312,$A234,'Safeguard facility data'!BL$4:BL$312,"&gt;0"))</f>
        <v>18411</v>
      </c>
      <c r="F234" s="67">
        <f>(SUMIFS('Safeguard facility data'!BF$4:BF$312,'Safeguard facility data'!$A$4:$A$312,$A234,'Safeguard facility data'!BF$4:BF$312,"&gt;0"))-(SUMIFS('Safeguard facility data'!BM$4:BM$312,'Safeguard facility data'!$A$4:$A$312,$A234,'Safeguard facility data'!BM$4:BM$312,"&gt;0"))</f>
        <v>51272</v>
      </c>
      <c r="G234" s="67"/>
      <c r="H234" s="67"/>
      <c r="I234" s="67"/>
      <c r="J234" s="67"/>
      <c r="K234" s="67"/>
      <c r="L234" s="67"/>
      <c r="M234" s="67"/>
      <c r="N234" s="67"/>
      <c r="O234" s="67"/>
      <c r="P234" s="67"/>
      <c r="Q234" s="67"/>
    </row>
    <row r="235" spans="1:17">
      <c r="A235" s="87" t="s">
        <v>525</v>
      </c>
      <c r="B235" s="67">
        <f>(SUMIFS('Safeguard facility data'!BB$4:BB$312,'Safeguard facility data'!$A$4:$A$312,$A235,'Safeguard facility data'!BB$4:BB$312,"&gt;0"))-(SUMIFS('Safeguard facility data'!BI$4:BI$312,'Safeguard facility data'!$A$4:$A$312,$A235,'Safeguard facility data'!BI$4:BI$312,"&gt;0"))</f>
        <v>22713</v>
      </c>
      <c r="C235" s="67">
        <f>(SUMIFS('Safeguard facility data'!BC$4:BC$312,'Safeguard facility data'!$A$4:$A$312,$A235,'Safeguard facility data'!BC$4:BC$312,"&gt;0"))-(SUMIFS('Safeguard facility data'!BJ$4:BJ$312,'Safeguard facility data'!$A$4:$A$312,$A235,'Safeguard facility data'!BJ$4:BJ$312,"&gt;0"))</f>
        <v>133096</v>
      </c>
      <c r="D235" s="67">
        <f>(SUMIFS('Safeguard facility data'!BD$4:BD$312,'Safeguard facility data'!$A$4:$A$312,$A235,'Safeguard facility data'!BD$4:BD$312,"&gt;0"))-(SUMIFS('Safeguard facility data'!BK$4:BK$312,'Safeguard facility data'!$A$4:$A$312,$A235,'Safeguard facility data'!BK$4:BK$312,"&gt;0"))</f>
        <v>133096</v>
      </c>
      <c r="E235" s="67">
        <f>(SUMIFS('Safeguard facility data'!BE$4:BE$312,'Safeguard facility data'!$A$4:$A$312,$A235,'Safeguard facility data'!BE$4:BE$312,"&gt;0"))-(SUMIFS('Safeguard facility data'!BL$4:BL$312,'Safeguard facility data'!$A$4:$A$312,$A235,'Safeguard facility data'!BL$4:BL$312,"&gt;0"))</f>
        <v>133096</v>
      </c>
      <c r="F235" s="67">
        <f>(SUMIFS('Safeguard facility data'!BF$4:BF$312,'Safeguard facility data'!$A$4:$A$312,$A235,'Safeguard facility data'!BF$4:BF$312,"&gt;0"))-(SUMIFS('Safeguard facility data'!BM$4:BM$312,'Safeguard facility data'!$A$4:$A$312,$A235,'Safeguard facility data'!BM$4:BM$312,"&gt;0"))</f>
        <v>148732</v>
      </c>
      <c r="G235" s="67"/>
      <c r="H235" s="67"/>
      <c r="I235" s="67"/>
      <c r="J235" s="67"/>
      <c r="K235" s="67"/>
      <c r="L235" s="67"/>
      <c r="M235" s="67"/>
      <c r="N235" s="67"/>
      <c r="O235" s="67"/>
      <c r="P235" s="67"/>
      <c r="Q235" s="67"/>
    </row>
    <row r="236" spans="1:17">
      <c r="A236" s="87" t="s">
        <v>526</v>
      </c>
      <c r="B236" s="67">
        <f>(SUMIFS('Safeguard facility data'!BB$4:BB$312,'Safeguard facility data'!$A$4:$A$312,$A236,'Safeguard facility data'!BB$4:BB$312,"&gt;0"))-(SUMIFS('Safeguard facility data'!BI$4:BI$312,'Safeguard facility data'!$A$4:$A$312,$A236,'Safeguard facility data'!BI$4:BI$312,"&gt;0"))</f>
        <v>42547</v>
      </c>
      <c r="C236" s="67">
        <f>(SUMIFS('Safeguard facility data'!BC$4:BC$312,'Safeguard facility data'!$A$4:$A$312,$A236,'Safeguard facility data'!BC$4:BC$312,"&gt;0"))-(SUMIFS('Safeguard facility data'!BJ$4:BJ$312,'Safeguard facility data'!$A$4:$A$312,$A236,'Safeguard facility data'!BJ$4:BJ$312,"&gt;0"))</f>
        <v>57410</v>
      </c>
      <c r="D236" s="67">
        <f>(SUMIFS('Safeguard facility data'!BD$4:BD$312,'Safeguard facility data'!$A$4:$A$312,$A236,'Safeguard facility data'!BD$4:BD$312,"&gt;0"))-(SUMIFS('Safeguard facility data'!BK$4:BK$312,'Safeguard facility data'!$A$4:$A$312,$A236,'Safeguard facility data'!BK$4:BK$312,"&gt;0"))</f>
        <v>13977</v>
      </c>
      <c r="E236" s="67">
        <f>(SUMIFS('Safeguard facility data'!BE$4:BE$312,'Safeguard facility data'!$A$4:$A$312,$A236,'Safeguard facility data'!BE$4:BE$312,"&gt;0"))-(SUMIFS('Safeguard facility data'!BL$4:BL$312,'Safeguard facility data'!$A$4:$A$312,$A236,'Safeguard facility data'!BL$4:BL$312,"&gt;0"))</f>
        <v>8780</v>
      </c>
      <c r="F236" s="67">
        <f>(SUMIFS('Safeguard facility data'!BF$4:BF$312,'Safeguard facility data'!$A$4:$A$312,$A236,'Safeguard facility data'!BF$4:BF$312,"&gt;0"))-(SUMIFS('Safeguard facility data'!BM$4:BM$312,'Safeguard facility data'!$A$4:$A$312,$A236,'Safeguard facility data'!BM$4:BM$312,"&gt;0"))</f>
        <v>21077</v>
      </c>
      <c r="G236" s="67"/>
      <c r="H236" s="67"/>
      <c r="I236" s="67"/>
      <c r="J236" s="67"/>
      <c r="K236" s="67"/>
      <c r="L236" s="67"/>
      <c r="M236" s="67"/>
      <c r="N236" s="67"/>
      <c r="O236" s="67"/>
      <c r="P236" s="67"/>
      <c r="Q236" s="67"/>
    </row>
    <row r="237" spans="1:17">
      <c r="A237" s="87" t="s">
        <v>527</v>
      </c>
      <c r="B237" s="67">
        <f>(SUMIFS('Safeguard facility data'!BB$4:BB$312,'Safeguard facility data'!$A$4:$A$312,$A237,'Safeguard facility data'!BB$4:BB$312,"&gt;0"))-(SUMIFS('Safeguard facility data'!BI$4:BI$312,'Safeguard facility data'!$A$4:$A$312,$A237,'Safeguard facility data'!BI$4:BI$312,"&gt;0"))</f>
        <v>700615</v>
      </c>
      <c r="C237" s="67">
        <f>(SUMIFS('Safeguard facility data'!BC$4:BC$312,'Safeguard facility data'!$A$4:$A$312,$A237,'Safeguard facility data'!BC$4:BC$312,"&gt;0"))-(SUMIFS('Safeguard facility data'!BJ$4:BJ$312,'Safeguard facility data'!$A$4:$A$312,$A237,'Safeguard facility data'!BJ$4:BJ$312,"&gt;0"))</f>
        <v>710752</v>
      </c>
      <c r="D237" s="67">
        <f>(SUMIFS('Safeguard facility data'!BD$4:BD$312,'Safeguard facility data'!$A$4:$A$312,$A237,'Safeguard facility data'!BD$4:BD$312,"&gt;0"))-(SUMIFS('Safeguard facility data'!BK$4:BK$312,'Safeguard facility data'!$A$4:$A$312,$A237,'Safeguard facility data'!BK$4:BK$312,"&gt;0"))</f>
        <v>747879</v>
      </c>
      <c r="E237" s="67">
        <f>(SUMIFS('Safeguard facility data'!BE$4:BE$312,'Safeguard facility data'!$A$4:$A$312,$A237,'Safeguard facility data'!BE$4:BE$312,"&gt;0"))-(SUMIFS('Safeguard facility data'!BL$4:BL$312,'Safeguard facility data'!$A$4:$A$312,$A237,'Safeguard facility data'!BL$4:BL$312,"&gt;0"))</f>
        <v>750202</v>
      </c>
      <c r="F237" s="67">
        <f>(SUMIFS('Safeguard facility data'!BF$4:BF$312,'Safeguard facility data'!$A$4:$A$312,$A237,'Safeguard facility data'!BF$4:BF$312,"&gt;0"))-(SUMIFS('Safeguard facility data'!BM$4:BM$312,'Safeguard facility data'!$A$4:$A$312,$A237,'Safeguard facility data'!BM$4:BM$312,"&gt;0"))</f>
        <v>17786</v>
      </c>
      <c r="G237" s="67"/>
      <c r="H237" s="67"/>
      <c r="I237" s="67"/>
      <c r="J237" s="67"/>
      <c r="K237" s="67"/>
      <c r="L237" s="67"/>
      <c r="M237" s="67"/>
      <c r="N237" s="67"/>
      <c r="O237" s="67"/>
      <c r="P237" s="67"/>
      <c r="Q237" s="67"/>
    </row>
    <row r="238" spans="1:17">
      <c r="A238" s="87" t="s">
        <v>528</v>
      </c>
      <c r="B238" s="67">
        <f>(SUMIFS('Safeguard facility data'!BB$4:BB$312,'Safeguard facility data'!$A$4:$A$312,$A238,'Safeguard facility data'!BB$4:BB$312,"&gt;0"))-(SUMIFS('Safeguard facility data'!BI$4:BI$312,'Safeguard facility data'!$A$4:$A$312,$A238,'Safeguard facility data'!BI$4:BI$312,"&gt;0"))</f>
        <v>116767</v>
      </c>
      <c r="C238" s="67">
        <f>(SUMIFS('Safeguard facility data'!BC$4:BC$312,'Safeguard facility data'!$A$4:$A$312,$A238,'Safeguard facility data'!BC$4:BC$312,"&gt;0"))-(SUMIFS('Safeguard facility data'!BJ$4:BJ$312,'Safeguard facility data'!$A$4:$A$312,$A238,'Safeguard facility data'!BJ$4:BJ$312,"&gt;0"))</f>
        <v>116767</v>
      </c>
      <c r="D238" s="67">
        <f>(SUMIFS('Safeguard facility data'!BD$4:BD$312,'Safeguard facility data'!$A$4:$A$312,$A238,'Safeguard facility data'!BD$4:BD$312,"&gt;0"))-(SUMIFS('Safeguard facility data'!BK$4:BK$312,'Safeguard facility data'!$A$4:$A$312,$A238,'Safeguard facility data'!BK$4:BK$312,"&gt;0"))</f>
        <v>116767</v>
      </c>
      <c r="E238" s="67">
        <f>(SUMIFS('Safeguard facility data'!BE$4:BE$312,'Safeguard facility data'!$A$4:$A$312,$A238,'Safeguard facility data'!BE$4:BE$312,"&gt;0"))-(SUMIFS('Safeguard facility data'!BL$4:BL$312,'Safeguard facility data'!$A$4:$A$312,$A238,'Safeguard facility data'!BL$4:BL$312,"&gt;0"))</f>
        <v>116767</v>
      </c>
      <c r="F238" s="67">
        <f>(SUMIFS('Safeguard facility data'!BF$4:BF$312,'Safeguard facility data'!$A$4:$A$312,$A238,'Safeguard facility data'!BF$4:BF$312,"&gt;0"))-(SUMIFS('Safeguard facility data'!BM$4:BM$312,'Safeguard facility data'!$A$4:$A$312,$A238,'Safeguard facility data'!BM$4:BM$312,"&gt;0"))</f>
        <v>116767</v>
      </c>
      <c r="G238" s="67"/>
      <c r="H238" s="67"/>
      <c r="I238" s="67"/>
      <c r="J238" s="67"/>
      <c r="K238" s="67"/>
      <c r="L238" s="67"/>
      <c r="M238" s="67"/>
      <c r="N238" s="67"/>
      <c r="O238" s="67"/>
      <c r="P238" s="67"/>
      <c r="Q238" s="67"/>
    </row>
    <row r="239" spans="1:17">
      <c r="A239" s="87" t="s">
        <v>529</v>
      </c>
      <c r="B239" s="67">
        <f>(SUMIFS('Safeguard facility data'!BB$4:BB$312,'Safeguard facility data'!$A$4:$A$312,$A239,'Safeguard facility data'!BB$4:BB$312,"&gt;0"))-(SUMIFS('Safeguard facility data'!BI$4:BI$312,'Safeguard facility data'!$A$4:$A$312,$A239,'Safeguard facility data'!BI$4:BI$312,"&gt;0"))</f>
        <v>21354</v>
      </c>
      <c r="C239" s="67">
        <f>(SUMIFS('Safeguard facility data'!BC$4:BC$312,'Safeguard facility data'!$A$4:$A$312,$A239,'Safeguard facility data'!BC$4:BC$312,"&gt;0"))-(SUMIFS('Safeguard facility data'!BJ$4:BJ$312,'Safeguard facility data'!$A$4:$A$312,$A239,'Safeguard facility data'!BJ$4:BJ$312,"&gt;0"))</f>
        <v>86546</v>
      </c>
      <c r="D239" s="67">
        <f>(SUMIFS('Safeguard facility data'!BD$4:BD$312,'Safeguard facility data'!$A$4:$A$312,$A239,'Safeguard facility data'!BD$4:BD$312,"&gt;0"))-(SUMIFS('Safeguard facility data'!BK$4:BK$312,'Safeguard facility data'!$A$4:$A$312,$A239,'Safeguard facility data'!BK$4:BK$312,"&gt;0"))</f>
        <v>102227</v>
      </c>
      <c r="E239" s="67">
        <f>(SUMIFS('Safeguard facility data'!BE$4:BE$312,'Safeguard facility data'!$A$4:$A$312,$A239,'Safeguard facility data'!BE$4:BE$312,"&gt;0"))-(SUMIFS('Safeguard facility data'!BL$4:BL$312,'Safeguard facility data'!$A$4:$A$312,$A239,'Safeguard facility data'!BL$4:BL$312,"&gt;0"))</f>
        <v>263297</v>
      </c>
      <c r="F239" s="67">
        <f>(SUMIFS('Safeguard facility data'!BF$4:BF$312,'Safeguard facility data'!$A$4:$A$312,$A239,'Safeguard facility data'!BF$4:BF$312,"&gt;0"))-(SUMIFS('Safeguard facility data'!BM$4:BM$312,'Safeguard facility data'!$A$4:$A$312,$A239,'Safeguard facility data'!BM$4:BM$312,"&gt;0"))</f>
        <v>0</v>
      </c>
      <c r="G239" s="67"/>
      <c r="H239" s="67"/>
      <c r="I239" s="67"/>
      <c r="J239" s="67"/>
      <c r="K239" s="67"/>
      <c r="L239" s="67"/>
      <c r="M239" s="67"/>
      <c r="N239" s="67"/>
      <c r="O239" s="67"/>
      <c r="P239" s="67"/>
      <c r="Q239" s="67"/>
    </row>
    <row r="240" spans="1:17">
      <c r="A240" s="87" t="s">
        <v>530</v>
      </c>
      <c r="B240" s="67">
        <f>(SUMIFS('Safeguard facility data'!BB$4:BB$312,'Safeguard facility data'!$A$4:$A$312,$A240,'Safeguard facility data'!BB$4:BB$312,"&gt;0"))-(SUMIFS('Safeguard facility data'!BI$4:BI$312,'Safeguard facility data'!$A$4:$A$312,$A240,'Safeguard facility data'!BI$4:BI$312,"&gt;0"))</f>
        <v>2980</v>
      </c>
      <c r="C240" s="67">
        <f>(SUMIFS('Safeguard facility data'!BC$4:BC$312,'Safeguard facility data'!$A$4:$A$312,$A240,'Safeguard facility data'!BC$4:BC$312,"&gt;0"))-(SUMIFS('Safeguard facility data'!BJ$4:BJ$312,'Safeguard facility data'!$A$4:$A$312,$A240,'Safeguard facility data'!BJ$4:BJ$312,"&gt;0"))</f>
        <v>485</v>
      </c>
      <c r="D240" s="67">
        <f>(SUMIFS('Safeguard facility data'!BD$4:BD$312,'Safeguard facility data'!$A$4:$A$312,$A240,'Safeguard facility data'!BD$4:BD$312,"&gt;0"))-(SUMIFS('Safeguard facility data'!BK$4:BK$312,'Safeguard facility data'!$A$4:$A$312,$A240,'Safeguard facility data'!BK$4:BK$312,"&gt;0"))</f>
        <v>64316</v>
      </c>
      <c r="E240" s="67">
        <f>(SUMIFS('Safeguard facility data'!BE$4:BE$312,'Safeguard facility data'!$A$4:$A$312,$A240,'Safeguard facility data'!BE$4:BE$312,"&gt;0"))-(SUMIFS('Safeguard facility data'!BL$4:BL$312,'Safeguard facility data'!$A$4:$A$312,$A240,'Safeguard facility data'!BL$4:BL$312,"&gt;0"))</f>
        <v>149544</v>
      </c>
      <c r="F240" s="67">
        <f>(SUMIFS('Safeguard facility data'!BF$4:BF$312,'Safeguard facility data'!$A$4:$A$312,$A240,'Safeguard facility data'!BF$4:BF$312,"&gt;0"))-(SUMIFS('Safeguard facility data'!BM$4:BM$312,'Safeguard facility data'!$A$4:$A$312,$A240,'Safeguard facility data'!BM$4:BM$312,"&gt;0"))</f>
        <v>317528</v>
      </c>
      <c r="G240" s="67"/>
      <c r="H240" s="67"/>
      <c r="I240" s="67"/>
      <c r="J240" s="67"/>
      <c r="K240" s="67"/>
      <c r="L240" s="67"/>
      <c r="M240" s="67"/>
      <c r="N240" s="67"/>
      <c r="O240" s="67"/>
      <c r="P240" s="67"/>
      <c r="Q240" s="67"/>
    </row>
    <row r="241" spans="1:17">
      <c r="A241" s="87" t="s">
        <v>531</v>
      </c>
      <c r="B241" s="67">
        <f>(SUMIFS('Safeguard facility data'!BB$4:BB$312,'Safeguard facility data'!$A$4:$A$312,$A241,'Safeguard facility data'!BB$4:BB$312,"&gt;0"))-(SUMIFS('Safeguard facility data'!BI$4:BI$312,'Safeguard facility data'!$A$4:$A$312,$A241,'Safeguard facility data'!BI$4:BI$312,"&gt;0"))</f>
        <v>91083</v>
      </c>
      <c r="C241" s="67">
        <f>(SUMIFS('Safeguard facility data'!BC$4:BC$312,'Safeguard facility data'!$A$4:$A$312,$A241,'Safeguard facility data'!BC$4:BC$312,"&gt;0"))-(SUMIFS('Safeguard facility data'!BJ$4:BJ$312,'Safeguard facility data'!$A$4:$A$312,$A241,'Safeguard facility data'!BJ$4:BJ$312,"&gt;0"))</f>
        <v>97715</v>
      </c>
      <c r="D241" s="67">
        <f>(SUMIFS('Safeguard facility data'!BD$4:BD$312,'Safeguard facility data'!$A$4:$A$312,$A241,'Safeguard facility data'!BD$4:BD$312,"&gt;0"))-(SUMIFS('Safeguard facility data'!BK$4:BK$312,'Safeguard facility data'!$A$4:$A$312,$A241,'Safeguard facility data'!BK$4:BK$312,"&gt;0"))</f>
        <v>108747</v>
      </c>
      <c r="E241" s="67">
        <f>(SUMIFS('Safeguard facility data'!BE$4:BE$312,'Safeguard facility data'!$A$4:$A$312,$A241,'Safeguard facility data'!BE$4:BE$312,"&gt;0"))-(SUMIFS('Safeguard facility data'!BL$4:BL$312,'Safeguard facility data'!$A$4:$A$312,$A241,'Safeguard facility data'!BL$4:BL$312,"&gt;0"))</f>
        <v>105465</v>
      </c>
      <c r="F241" s="67">
        <f>(SUMIFS('Safeguard facility data'!BF$4:BF$312,'Safeguard facility data'!$A$4:$A$312,$A241,'Safeguard facility data'!BF$4:BF$312,"&gt;0"))-(SUMIFS('Safeguard facility data'!BM$4:BM$312,'Safeguard facility data'!$A$4:$A$312,$A241,'Safeguard facility data'!BM$4:BM$312,"&gt;0"))</f>
        <v>36188</v>
      </c>
      <c r="G241" s="67"/>
      <c r="H241" s="67"/>
      <c r="I241" s="67"/>
      <c r="J241" s="67"/>
      <c r="K241" s="67"/>
      <c r="L241" s="67"/>
      <c r="M241" s="67"/>
      <c r="N241" s="67"/>
      <c r="O241" s="67"/>
      <c r="P241" s="67"/>
      <c r="Q241" s="67"/>
    </row>
    <row r="242" spans="1:17">
      <c r="A242" s="87" t="s">
        <v>532</v>
      </c>
      <c r="B242" s="67">
        <f>(SUMIFS('Safeguard facility data'!BB$4:BB$312,'Safeguard facility data'!$A$4:$A$312,$A242,'Safeguard facility data'!BB$4:BB$312,"&gt;0"))-(SUMIFS('Safeguard facility data'!BI$4:BI$312,'Safeguard facility data'!$A$4:$A$312,$A242,'Safeguard facility data'!BI$4:BI$312,"&gt;0"))</f>
        <v>964</v>
      </c>
      <c r="C242" s="67">
        <f>(SUMIFS('Safeguard facility data'!BC$4:BC$312,'Safeguard facility data'!$A$4:$A$312,$A242,'Safeguard facility data'!BC$4:BC$312,"&gt;0"))-(SUMIFS('Safeguard facility data'!BJ$4:BJ$312,'Safeguard facility data'!$A$4:$A$312,$A242,'Safeguard facility data'!BJ$4:BJ$312,"&gt;0"))</f>
        <v>-25264</v>
      </c>
      <c r="D242" s="67">
        <f>(SUMIFS('Safeguard facility data'!BD$4:BD$312,'Safeguard facility data'!$A$4:$A$312,$A242,'Safeguard facility data'!BD$4:BD$312,"&gt;0"))-(SUMIFS('Safeguard facility data'!BK$4:BK$312,'Safeguard facility data'!$A$4:$A$312,$A242,'Safeguard facility data'!BK$4:BK$312,"&gt;0"))</f>
        <v>24992</v>
      </c>
      <c r="E242" s="67">
        <f>(SUMIFS('Safeguard facility data'!BE$4:BE$312,'Safeguard facility data'!$A$4:$A$312,$A242,'Safeguard facility data'!BE$4:BE$312,"&gt;0"))-(SUMIFS('Safeguard facility data'!BL$4:BL$312,'Safeguard facility data'!$A$4:$A$312,$A242,'Safeguard facility data'!BL$4:BL$312,"&gt;0"))</f>
        <v>27523</v>
      </c>
      <c r="F242" s="67">
        <f>(SUMIFS('Safeguard facility data'!BF$4:BF$312,'Safeguard facility data'!$A$4:$A$312,$A242,'Safeguard facility data'!BF$4:BF$312,"&gt;0"))-(SUMIFS('Safeguard facility data'!BM$4:BM$312,'Safeguard facility data'!$A$4:$A$312,$A242,'Safeguard facility data'!BM$4:BM$312,"&gt;0"))</f>
        <v>16751</v>
      </c>
      <c r="G242" s="67"/>
      <c r="H242" s="67"/>
      <c r="I242" s="67"/>
      <c r="J242" s="67"/>
      <c r="K242" s="67"/>
      <c r="L242" s="67"/>
      <c r="M242" s="67"/>
      <c r="N242" s="67"/>
      <c r="O242" s="67"/>
      <c r="P242" s="67"/>
      <c r="Q242" s="67"/>
    </row>
    <row r="243" spans="1:17">
      <c r="A243" s="87" t="s">
        <v>533</v>
      </c>
      <c r="B243" s="67">
        <f>(SUMIFS('Safeguard facility data'!BB$4:BB$312,'Safeguard facility data'!$A$4:$A$312,$A243,'Safeguard facility data'!BB$4:BB$312,"&gt;0"))-(SUMIFS('Safeguard facility data'!BI$4:BI$312,'Safeguard facility data'!$A$4:$A$312,$A243,'Safeguard facility data'!BI$4:BI$312,"&gt;0"))</f>
        <v>118700</v>
      </c>
      <c r="C243" s="67">
        <f>(SUMIFS('Safeguard facility data'!BC$4:BC$312,'Safeguard facility data'!$A$4:$A$312,$A243,'Safeguard facility data'!BC$4:BC$312,"&gt;0"))-(SUMIFS('Safeguard facility data'!BJ$4:BJ$312,'Safeguard facility data'!$A$4:$A$312,$A243,'Safeguard facility data'!BJ$4:BJ$312,"&gt;0"))</f>
        <v>127236</v>
      </c>
      <c r="D243" s="67">
        <f>(SUMIFS('Safeguard facility data'!BD$4:BD$312,'Safeguard facility data'!$A$4:$A$312,$A243,'Safeguard facility data'!BD$4:BD$312,"&gt;0"))-(SUMIFS('Safeguard facility data'!BK$4:BK$312,'Safeguard facility data'!$A$4:$A$312,$A243,'Safeguard facility data'!BK$4:BK$312,"&gt;0"))</f>
        <v>226860</v>
      </c>
      <c r="E243" s="67">
        <f>(SUMIFS('Safeguard facility data'!BE$4:BE$312,'Safeguard facility data'!$A$4:$A$312,$A243,'Safeguard facility data'!BE$4:BE$312,"&gt;0"))-(SUMIFS('Safeguard facility data'!BL$4:BL$312,'Safeguard facility data'!$A$4:$A$312,$A243,'Safeguard facility data'!BL$4:BL$312,"&gt;0"))</f>
        <v>104010</v>
      </c>
      <c r="F243" s="67">
        <f>(SUMIFS('Safeguard facility data'!BF$4:BF$312,'Safeguard facility data'!$A$4:$A$312,$A243,'Safeguard facility data'!BF$4:BF$312,"&gt;0"))-(SUMIFS('Safeguard facility data'!BM$4:BM$312,'Safeguard facility data'!$A$4:$A$312,$A243,'Safeguard facility data'!BM$4:BM$312,"&gt;0"))</f>
        <v>165050</v>
      </c>
      <c r="G243" s="67"/>
      <c r="H243" s="67"/>
      <c r="I243" s="67"/>
      <c r="J243" s="67"/>
      <c r="K243" s="67"/>
      <c r="L243" s="67"/>
      <c r="M243" s="67"/>
      <c r="N243" s="67"/>
      <c r="O243" s="67"/>
      <c r="P243" s="67"/>
      <c r="Q243" s="67"/>
    </row>
    <row r="244" spans="1:17">
      <c r="A244" s="87" t="s">
        <v>534</v>
      </c>
      <c r="B244" s="67">
        <f>(SUMIFS('Safeguard facility data'!BB$4:BB$312,'Safeguard facility data'!$A$4:$A$312,$A244,'Safeguard facility data'!BB$4:BB$312,"&gt;0"))-(SUMIFS('Safeguard facility data'!BI$4:BI$312,'Safeguard facility data'!$A$4:$A$312,$A244,'Safeguard facility data'!BI$4:BI$312,"&gt;0"))</f>
        <v>376348</v>
      </c>
      <c r="C244" s="67">
        <f>(SUMIFS('Safeguard facility data'!BC$4:BC$312,'Safeguard facility data'!$A$4:$A$312,$A244,'Safeguard facility data'!BC$4:BC$312,"&gt;0"))-(SUMIFS('Safeguard facility data'!BJ$4:BJ$312,'Safeguard facility data'!$A$4:$A$312,$A244,'Safeguard facility data'!BJ$4:BJ$312,"&gt;0"))</f>
        <v>376348</v>
      </c>
      <c r="D244" s="67">
        <f>(SUMIFS('Safeguard facility data'!BD$4:BD$312,'Safeguard facility data'!$A$4:$A$312,$A244,'Safeguard facility data'!BD$4:BD$312,"&gt;0"))-(SUMIFS('Safeguard facility data'!BK$4:BK$312,'Safeguard facility data'!$A$4:$A$312,$A244,'Safeguard facility data'!BK$4:BK$312,"&gt;0"))</f>
        <v>275960</v>
      </c>
      <c r="E244" s="67">
        <f>(SUMIFS('Safeguard facility data'!BE$4:BE$312,'Safeguard facility data'!$A$4:$A$312,$A244,'Safeguard facility data'!BE$4:BE$312,"&gt;0"))-(SUMIFS('Safeguard facility data'!BL$4:BL$312,'Safeguard facility data'!$A$4:$A$312,$A244,'Safeguard facility data'!BL$4:BL$312,"&gt;0"))</f>
        <v>376348</v>
      </c>
      <c r="F244" s="67">
        <f>(SUMIFS('Safeguard facility data'!BF$4:BF$312,'Safeguard facility data'!$A$4:$A$312,$A244,'Safeguard facility data'!BF$4:BF$312,"&gt;0"))-(SUMIFS('Safeguard facility data'!BM$4:BM$312,'Safeguard facility data'!$A$4:$A$312,$A244,'Safeguard facility data'!BM$4:BM$312,"&gt;0"))</f>
        <v>376348</v>
      </c>
      <c r="G244" s="67"/>
      <c r="H244" s="67"/>
      <c r="I244" s="67"/>
      <c r="J244" s="67"/>
      <c r="K244" s="67"/>
      <c r="L244" s="67"/>
      <c r="M244" s="67"/>
      <c r="N244" s="67"/>
      <c r="O244" s="67"/>
      <c r="P244" s="67"/>
      <c r="Q244" s="67"/>
    </row>
    <row r="245" spans="1:17">
      <c r="A245" s="87" t="s">
        <v>535</v>
      </c>
      <c r="B245" s="67">
        <f>(SUMIFS('Safeguard facility data'!BB$4:BB$312,'Safeguard facility data'!$A$4:$A$312,$A245,'Safeguard facility data'!BB$4:BB$312,"&gt;0"))-(SUMIFS('Safeguard facility data'!BI$4:BI$312,'Safeguard facility data'!$A$4:$A$312,$A245,'Safeguard facility data'!BI$4:BI$312,"&gt;0"))</f>
        <v>186742</v>
      </c>
      <c r="C245" s="67">
        <f>(SUMIFS('Safeguard facility data'!BC$4:BC$312,'Safeguard facility data'!$A$4:$A$312,$A245,'Safeguard facility data'!BC$4:BC$312,"&gt;0"))-(SUMIFS('Safeguard facility data'!BJ$4:BJ$312,'Safeguard facility data'!$A$4:$A$312,$A245,'Safeguard facility data'!BJ$4:BJ$312,"&gt;0"))</f>
        <v>186742</v>
      </c>
      <c r="D245" s="67">
        <f>(SUMIFS('Safeguard facility data'!BD$4:BD$312,'Safeguard facility data'!$A$4:$A$312,$A245,'Safeguard facility data'!BD$4:BD$312,"&gt;0"))-(SUMIFS('Safeguard facility data'!BK$4:BK$312,'Safeguard facility data'!$A$4:$A$312,$A245,'Safeguard facility data'!BK$4:BK$312,"&gt;0"))</f>
        <v>186742</v>
      </c>
      <c r="E245" s="67">
        <f>(SUMIFS('Safeguard facility data'!BE$4:BE$312,'Safeguard facility data'!$A$4:$A$312,$A245,'Safeguard facility data'!BE$4:BE$312,"&gt;0"))-(SUMIFS('Safeguard facility data'!BL$4:BL$312,'Safeguard facility data'!$A$4:$A$312,$A245,'Safeguard facility data'!BL$4:BL$312,"&gt;0"))</f>
        <v>186742</v>
      </c>
      <c r="F245" s="67">
        <f>(SUMIFS('Safeguard facility data'!BF$4:BF$312,'Safeguard facility data'!$A$4:$A$312,$A245,'Safeguard facility data'!BF$4:BF$312,"&gt;0"))-(SUMIFS('Safeguard facility data'!BM$4:BM$312,'Safeguard facility data'!$A$4:$A$312,$A245,'Safeguard facility data'!BM$4:BM$312,"&gt;0"))</f>
        <v>186742</v>
      </c>
      <c r="G245" s="67"/>
      <c r="H245" s="67"/>
      <c r="I245" s="67"/>
      <c r="J245" s="67"/>
      <c r="K245" s="67"/>
      <c r="L245" s="67"/>
      <c r="M245" s="67"/>
      <c r="N245" s="67"/>
      <c r="O245" s="67"/>
      <c r="P245" s="67"/>
      <c r="Q245" s="67"/>
    </row>
    <row r="246" spans="1:17">
      <c r="A246" s="87" t="s">
        <v>536</v>
      </c>
      <c r="B246" s="67">
        <f>(SUMIFS('Safeguard facility data'!BB$4:BB$312,'Safeguard facility data'!$A$4:$A$312,$A246,'Safeguard facility data'!BB$4:BB$312,"&gt;0"))-(SUMIFS('Safeguard facility data'!BI$4:BI$312,'Safeguard facility data'!$A$4:$A$312,$A246,'Safeguard facility data'!BI$4:BI$312,"&gt;0"))</f>
        <v>127802</v>
      </c>
      <c r="C246" s="67">
        <f>(SUMIFS('Safeguard facility data'!BC$4:BC$312,'Safeguard facility data'!$A$4:$A$312,$A246,'Safeguard facility data'!BC$4:BC$312,"&gt;0"))-(SUMIFS('Safeguard facility data'!BJ$4:BJ$312,'Safeguard facility data'!$A$4:$A$312,$A246,'Safeguard facility data'!BJ$4:BJ$312,"&gt;0"))</f>
        <v>105055</v>
      </c>
      <c r="D246" s="67">
        <f>(SUMIFS('Safeguard facility data'!BD$4:BD$312,'Safeguard facility data'!$A$4:$A$312,$A246,'Safeguard facility data'!BD$4:BD$312,"&gt;0"))-(SUMIFS('Safeguard facility data'!BK$4:BK$312,'Safeguard facility data'!$A$4:$A$312,$A246,'Safeguard facility data'!BK$4:BK$312,"&gt;0"))</f>
        <v>117153</v>
      </c>
      <c r="E246" s="67">
        <f>(SUMIFS('Safeguard facility data'!BE$4:BE$312,'Safeguard facility data'!$A$4:$A$312,$A246,'Safeguard facility data'!BE$4:BE$312,"&gt;0"))-(SUMIFS('Safeguard facility data'!BL$4:BL$312,'Safeguard facility data'!$A$4:$A$312,$A246,'Safeguard facility data'!BL$4:BL$312,"&gt;0"))</f>
        <v>112796</v>
      </c>
      <c r="F246" s="67">
        <f>(SUMIFS('Safeguard facility data'!BF$4:BF$312,'Safeguard facility data'!$A$4:$A$312,$A246,'Safeguard facility data'!BF$4:BF$312,"&gt;0"))-(SUMIFS('Safeguard facility data'!BM$4:BM$312,'Safeguard facility data'!$A$4:$A$312,$A246,'Safeguard facility data'!BM$4:BM$312,"&gt;0"))</f>
        <v>20070</v>
      </c>
      <c r="G246" s="67"/>
      <c r="H246" s="67"/>
      <c r="I246" s="67"/>
      <c r="J246" s="67"/>
      <c r="K246" s="67"/>
      <c r="L246" s="67"/>
      <c r="M246" s="67"/>
      <c r="N246" s="67"/>
      <c r="O246" s="67"/>
      <c r="P246" s="67"/>
      <c r="Q246" s="67"/>
    </row>
    <row r="247" spans="1:17">
      <c r="A247" s="87" t="s">
        <v>537</v>
      </c>
      <c r="B247" s="67">
        <f>(SUMIFS('Safeguard facility data'!BB$4:BB$312,'Safeguard facility data'!$A$4:$A$312,$A247,'Safeguard facility data'!BB$4:BB$312,"&gt;0"))-(SUMIFS('Safeguard facility data'!BI$4:BI$312,'Safeguard facility data'!$A$4:$A$312,$A247,'Safeguard facility data'!BI$4:BI$312,"&gt;0"))</f>
        <v>28001</v>
      </c>
      <c r="C247" s="67">
        <f>(SUMIFS('Safeguard facility data'!BC$4:BC$312,'Safeguard facility data'!$A$4:$A$312,$A247,'Safeguard facility data'!BC$4:BC$312,"&gt;0"))-(SUMIFS('Safeguard facility data'!BJ$4:BJ$312,'Safeguard facility data'!$A$4:$A$312,$A247,'Safeguard facility data'!BJ$4:BJ$312,"&gt;0"))</f>
        <v>149158</v>
      </c>
      <c r="D247" s="67">
        <f>(SUMIFS('Safeguard facility data'!BD$4:BD$312,'Safeguard facility data'!$A$4:$A$312,$A247,'Safeguard facility data'!BD$4:BD$312,"&gt;0"))-(SUMIFS('Safeguard facility data'!BK$4:BK$312,'Safeguard facility data'!$A$4:$A$312,$A247,'Safeguard facility data'!BK$4:BK$312,"&gt;0"))</f>
        <v>149158</v>
      </c>
      <c r="E247" s="67">
        <f>(SUMIFS('Safeguard facility data'!BE$4:BE$312,'Safeguard facility data'!$A$4:$A$312,$A247,'Safeguard facility data'!BE$4:BE$312,"&gt;0"))-(SUMIFS('Safeguard facility data'!BL$4:BL$312,'Safeguard facility data'!$A$4:$A$312,$A247,'Safeguard facility data'!BL$4:BL$312,"&gt;0"))</f>
        <v>149158</v>
      </c>
      <c r="F247" s="67">
        <f>(SUMIFS('Safeguard facility data'!BF$4:BF$312,'Safeguard facility data'!$A$4:$A$312,$A247,'Safeguard facility data'!BF$4:BF$312,"&gt;0"))-(SUMIFS('Safeguard facility data'!BM$4:BM$312,'Safeguard facility data'!$A$4:$A$312,$A247,'Safeguard facility data'!BM$4:BM$312,"&gt;0"))</f>
        <v>120340</v>
      </c>
      <c r="G247" s="67"/>
      <c r="H247" s="67"/>
      <c r="I247" s="67"/>
      <c r="J247" s="67"/>
      <c r="K247" s="67"/>
      <c r="L247" s="67"/>
      <c r="M247" s="67"/>
      <c r="N247" s="67"/>
      <c r="O247" s="67"/>
      <c r="P247" s="67"/>
      <c r="Q247" s="67"/>
    </row>
    <row r="248" spans="1:17">
      <c r="A248" s="87" t="s">
        <v>538</v>
      </c>
      <c r="B248" s="67">
        <f>(SUMIFS('Safeguard facility data'!BB$4:BB$312,'Safeguard facility data'!$A$4:$A$312,$A248,'Safeguard facility data'!BB$4:BB$312,"&gt;0"))-(SUMIFS('Safeguard facility data'!BI$4:BI$312,'Safeguard facility data'!$A$4:$A$312,$A248,'Safeguard facility data'!BI$4:BI$312,"&gt;0"))</f>
        <v>192858</v>
      </c>
      <c r="C248" s="67">
        <f>(SUMIFS('Safeguard facility data'!BC$4:BC$312,'Safeguard facility data'!$A$4:$A$312,$A248,'Safeguard facility data'!BC$4:BC$312,"&gt;0"))-(SUMIFS('Safeguard facility data'!BJ$4:BJ$312,'Safeguard facility data'!$A$4:$A$312,$A248,'Safeguard facility data'!BJ$4:BJ$312,"&gt;0"))</f>
        <v>-5338</v>
      </c>
      <c r="D248" s="67">
        <f>(SUMIFS('Safeguard facility data'!BD$4:BD$312,'Safeguard facility data'!$A$4:$A$312,$A248,'Safeguard facility data'!BD$4:BD$312,"&gt;0"))-(SUMIFS('Safeguard facility data'!BK$4:BK$312,'Safeguard facility data'!$A$4:$A$312,$A248,'Safeguard facility data'!BK$4:BK$312,"&gt;0"))</f>
        <v>28766</v>
      </c>
      <c r="E248" s="67">
        <f>(SUMIFS('Safeguard facility data'!BE$4:BE$312,'Safeguard facility data'!$A$4:$A$312,$A248,'Safeguard facility data'!BE$4:BE$312,"&gt;0"))-(SUMIFS('Safeguard facility data'!BL$4:BL$312,'Safeguard facility data'!$A$4:$A$312,$A248,'Safeguard facility data'!BL$4:BL$312,"&gt;0"))</f>
        <v>14476</v>
      </c>
      <c r="F248" s="67">
        <f>(SUMIFS('Safeguard facility data'!BF$4:BF$312,'Safeguard facility data'!$A$4:$A$312,$A248,'Safeguard facility data'!BF$4:BF$312,"&gt;0"))-(SUMIFS('Safeguard facility data'!BM$4:BM$312,'Safeguard facility data'!$A$4:$A$312,$A248,'Safeguard facility data'!BM$4:BM$312,"&gt;0"))</f>
        <v>10536</v>
      </c>
      <c r="G248" s="67"/>
      <c r="H248" s="67"/>
      <c r="I248" s="67"/>
      <c r="J248" s="67"/>
      <c r="K248" s="67"/>
      <c r="L248" s="67"/>
      <c r="M248" s="67"/>
      <c r="N248" s="67"/>
      <c r="O248" s="67"/>
      <c r="P248" s="67"/>
      <c r="Q248" s="67"/>
    </row>
    <row r="249" spans="1:17">
      <c r="A249" s="87" t="s">
        <v>539</v>
      </c>
      <c r="B249" s="67">
        <f>(SUMIFS('Safeguard facility data'!BB$4:BB$312,'Safeguard facility data'!$A$4:$A$312,$A249,'Safeguard facility data'!BB$4:BB$312,"&gt;0"))-(SUMIFS('Safeguard facility data'!BI$4:BI$312,'Safeguard facility data'!$A$4:$A$312,$A249,'Safeguard facility data'!BI$4:BI$312,"&gt;0"))</f>
        <v>655650</v>
      </c>
      <c r="C249" s="67">
        <f>(SUMIFS('Safeguard facility data'!BC$4:BC$312,'Safeguard facility data'!$A$4:$A$312,$A249,'Safeguard facility data'!BC$4:BC$312,"&gt;0"))-(SUMIFS('Safeguard facility data'!BJ$4:BJ$312,'Safeguard facility data'!$A$4:$A$312,$A249,'Safeguard facility data'!BJ$4:BJ$312,"&gt;0"))</f>
        <v>655650</v>
      </c>
      <c r="D249" s="67">
        <f>(SUMIFS('Safeguard facility data'!BD$4:BD$312,'Safeguard facility data'!$A$4:$A$312,$A249,'Safeguard facility data'!BD$4:BD$312,"&gt;0"))-(SUMIFS('Safeguard facility data'!BK$4:BK$312,'Safeguard facility data'!$A$4:$A$312,$A249,'Safeguard facility data'!BK$4:BK$312,"&gt;0"))</f>
        <v>655650</v>
      </c>
      <c r="E249" s="67">
        <f>(SUMIFS('Safeguard facility data'!BE$4:BE$312,'Safeguard facility data'!$A$4:$A$312,$A249,'Safeguard facility data'!BE$4:BE$312,"&gt;0"))-(SUMIFS('Safeguard facility data'!BL$4:BL$312,'Safeguard facility data'!$A$4:$A$312,$A249,'Safeguard facility data'!BL$4:BL$312,"&gt;0"))</f>
        <v>473072</v>
      </c>
      <c r="F249" s="67">
        <f>(SUMIFS('Safeguard facility data'!BF$4:BF$312,'Safeguard facility data'!$A$4:$A$312,$A249,'Safeguard facility data'!BF$4:BF$312,"&gt;0"))-(SUMIFS('Safeguard facility data'!BM$4:BM$312,'Safeguard facility data'!$A$4:$A$312,$A249,'Safeguard facility data'!BM$4:BM$312,"&gt;0"))</f>
        <v>1115025</v>
      </c>
      <c r="G249" s="67"/>
      <c r="H249" s="67"/>
      <c r="I249" s="67"/>
      <c r="J249" s="67"/>
      <c r="K249" s="67"/>
      <c r="L249" s="67"/>
      <c r="M249" s="67"/>
      <c r="N249" s="67"/>
      <c r="O249" s="67"/>
      <c r="P249" s="67"/>
      <c r="Q249" s="67"/>
    </row>
    <row r="250" spans="1:17">
      <c r="A250" s="87" t="s">
        <v>540</v>
      </c>
      <c r="B250" s="67">
        <f>(SUMIFS('Safeguard facility data'!BB$4:BB$312,'Safeguard facility data'!$A$4:$A$312,$A250,'Safeguard facility data'!BB$4:BB$312,"&gt;0"))-(SUMIFS('Safeguard facility data'!BI$4:BI$312,'Safeguard facility data'!$A$4:$A$312,$A250,'Safeguard facility data'!BI$4:BI$312,"&gt;0"))</f>
        <v>105065</v>
      </c>
      <c r="C250" s="67">
        <f>(SUMIFS('Safeguard facility data'!BC$4:BC$312,'Safeguard facility data'!$A$4:$A$312,$A250,'Safeguard facility data'!BC$4:BC$312,"&gt;0"))-(SUMIFS('Safeguard facility data'!BJ$4:BJ$312,'Safeguard facility data'!$A$4:$A$312,$A250,'Safeguard facility data'!BJ$4:BJ$312,"&gt;0"))</f>
        <v>105065</v>
      </c>
      <c r="D250" s="67">
        <f>(SUMIFS('Safeguard facility data'!BD$4:BD$312,'Safeguard facility data'!$A$4:$A$312,$A250,'Safeguard facility data'!BD$4:BD$312,"&gt;0"))-(SUMIFS('Safeguard facility data'!BK$4:BK$312,'Safeguard facility data'!$A$4:$A$312,$A250,'Safeguard facility data'!BK$4:BK$312,"&gt;0"))</f>
        <v>105065</v>
      </c>
      <c r="E250" s="67">
        <f>(SUMIFS('Safeguard facility data'!BE$4:BE$312,'Safeguard facility data'!$A$4:$A$312,$A250,'Safeguard facility data'!BE$4:BE$312,"&gt;0"))-(SUMIFS('Safeguard facility data'!BL$4:BL$312,'Safeguard facility data'!$A$4:$A$312,$A250,'Safeguard facility data'!BL$4:BL$312,"&gt;0"))</f>
        <v>105065</v>
      </c>
      <c r="F250" s="67">
        <f>(SUMIFS('Safeguard facility data'!BF$4:BF$312,'Safeguard facility data'!$A$4:$A$312,$A250,'Safeguard facility data'!BF$4:BF$312,"&gt;0"))-(SUMIFS('Safeguard facility data'!BM$4:BM$312,'Safeguard facility data'!$A$4:$A$312,$A250,'Safeguard facility data'!BM$4:BM$312,"&gt;0"))</f>
        <v>105065</v>
      </c>
      <c r="G250" s="67"/>
      <c r="H250" s="67"/>
      <c r="I250" s="67"/>
      <c r="J250" s="67"/>
      <c r="K250" s="67"/>
      <c r="L250" s="67"/>
      <c r="M250" s="67"/>
      <c r="N250" s="67"/>
      <c r="O250" s="67"/>
      <c r="P250" s="67"/>
      <c r="Q250" s="67"/>
    </row>
    <row r="251" spans="1:17">
      <c r="A251" s="87" t="s">
        <v>541</v>
      </c>
      <c r="B251" s="67">
        <f>(SUMIFS('Safeguard facility data'!BB$4:BB$312,'Safeguard facility data'!$A$4:$A$312,$A251,'Safeguard facility data'!BB$4:BB$312,"&gt;0"))-(SUMIFS('Safeguard facility data'!BI$4:BI$312,'Safeguard facility data'!$A$4:$A$312,$A251,'Safeguard facility data'!BI$4:BI$312,"&gt;0"))</f>
        <v>158691</v>
      </c>
      <c r="C251" s="67">
        <f>(SUMIFS('Safeguard facility data'!BC$4:BC$312,'Safeguard facility data'!$A$4:$A$312,$A251,'Safeguard facility data'!BC$4:BC$312,"&gt;0"))-(SUMIFS('Safeguard facility data'!BJ$4:BJ$312,'Safeguard facility data'!$A$4:$A$312,$A251,'Safeguard facility data'!BJ$4:BJ$312,"&gt;0"))</f>
        <v>144341</v>
      </c>
      <c r="D251" s="67">
        <f>(SUMIFS('Safeguard facility data'!BD$4:BD$312,'Safeguard facility data'!$A$4:$A$312,$A251,'Safeguard facility data'!BD$4:BD$312,"&gt;0"))-(SUMIFS('Safeguard facility data'!BK$4:BK$312,'Safeguard facility data'!$A$4:$A$312,$A251,'Safeguard facility data'!BK$4:BK$312,"&gt;0"))</f>
        <v>97534</v>
      </c>
      <c r="E251" s="67">
        <f>(SUMIFS('Safeguard facility data'!BE$4:BE$312,'Safeguard facility data'!$A$4:$A$312,$A251,'Safeguard facility data'!BE$4:BE$312,"&gt;0"))-(SUMIFS('Safeguard facility data'!BL$4:BL$312,'Safeguard facility data'!$A$4:$A$312,$A251,'Safeguard facility data'!BL$4:BL$312,"&gt;0"))</f>
        <v>92045</v>
      </c>
      <c r="F251" s="67">
        <f>(SUMIFS('Safeguard facility data'!BF$4:BF$312,'Safeguard facility data'!$A$4:$A$312,$A251,'Safeguard facility data'!BF$4:BF$312,"&gt;0"))-(SUMIFS('Safeguard facility data'!BM$4:BM$312,'Safeguard facility data'!$A$4:$A$312,$A251,'Safeguard facility data'!BM$4:BM$312,"&gt;0"))</f>
        <v>-107418</v>
      </c>
      <c r="G251" s="67"/>
      <c r="H251" s="67"/>
      <c r="I251" s="67"/>
      <c r="J251" s="67"/>
      <c r="K251" s="67"/>
      <c r="L251" s="67"/>
      <c r="M251" s="67"/>
      <c r="N251" s="67"/>
      <c r="O251" s="67"/>
      <c r="P251" s="67"/>
      <c r="Q251" s="67"/>
    </row>
    <row r="252" spans="1:17">
      <c r="A252" s="87" t="s">
        <v>542</v>
      </c>
      <c r="B252" s="67">
        <f>(SUMIFS('Safeguard facility data'!BB$4:BB$312,'Safeguard facility data'!$A$4:$A$312,$A252,'Safeguard facility data'!BB$4:BB$312,"&gt;0"))-(SUMIFS('Safeguard facility data'!BI$4:BI$312,'Safeguard facility data'!$A$4:$A$312,$A252,'Safeguard facility data'!BI$4:BI$312,"&gt;0"))</f>
        <v>0</v>
      </c>
      <c r="C252" s="67">
        <f>(SUMIFS('Safeguard facility data'!BC$4:BC$312,'Safeguard facility data'!$A$4:$A$312,$A252,'Safeguard facility data'!BC$4:BC$312,"&gt;0"))-(SUMIFS('Safeguard facility data'!BJ$4:BJ$312,'Safeguard facility data'!$A$4:$A$312,$A252,'Safeguard facility data'!BJ$4:BJ$312,"&gt;0"))</f>
        <v>0</v>
      </c>
      <c r="D252" s="67">
        <f>(SUMIFS('Safeguard facility data'!BD$4:BD$312,'Safeguard facility data'!$A$4:$A$312,$A252,'Safeguard facility data'!BD$4:BD$312,"&gt;0"))-(SUMIFS('Safeguard facility data'!BK$4:BK$312,'Safeguard facility data'!$A$4:$A$312,$A252,'Safeguard facility data'!BK$4:BK$312,"&gt;0"))</f>
        <v>0</v>
      </c>
      <c r="E252" s="67">
        <f>(SUMIFS('Safeguard facility data'!BE$4:BE$312,'Safeguard facility data'!$A$4:$A$312,$A252,'Safeguard facility data'!BE$4:BE$312,"&gt;0"))-(SUMIFS('Safeguard facility data'!BL$4:BL$312,'Safeguard facility data'!$A$4:$A$312,$A252,'Safeguard facility data'!BL$4:BL$312,"&gt;0"))</f>
        <v>-1040</v>
      </c>
      <c r="F252" s="67">
        <f>(SUMIFS('Safeguard facility data'!BF$4:BF$312,'Safeguard facility data'!$A$4:$A$312,$A252,'Safeguard facility data'!BF$4:BF$312,"&gt;0"))-(SUMIFS('Safeguard facility data'!BM$4:BM$312,'Safeguard facility data'!$A$4:$A$312,$A252,'Safeguard facility data'!BM$4:BM$312,"&gt;0"))</f>
        <v>27981</v>
      </c>
      <c r="G252" s="67"/>
      <c r="H252" s="67"/>
      <c r="I252" s="67"/>
      <c r="J252" s="67"/>
      <c r="K252" s="67"/>
      <c r="L252" s="67"/>
      <c r="M252" s="67"/>
      <c r="N252" s="67"/>
      <c r="O252" s="67"/>
      <c r="P252" s="67"/>
      <c r="Q252" s="67"/>
    </row>
    <row r="253" spans="1:17">
      <c r="A253" s="87" t="s">
        <v>543</v>
      </c>
      <c r="B253" s="67">
        <f>(SUMIFS('Safeguard facility data'!BB$4:BB$312,'Safeguard facility data'!$A$4:$A$312,$A253,'Safeguard facility data'!BB$4:BB$312,"&gt;0"))-(SUMIFS('Safeguard facility data'!BI$4:BI$312,'Safeguard facility data'!$A$4:$A$312,$A253,'Safeguard facility data'!BI$4:BI$312,"&gt;0"))</f>
        <v>0</v>
      </c>
      <c r="C253" s="67">
        <f>(SUMIFS('Safeguard facility data'!BC$4:BC$312,'Safeguard facility data'!$A$4:$A$312,$A253,'Safeguard facility data'!BC$4:BC$312,"&gt;0"))-(SUMIFS('Safeguard facility data'!BJ$4:BJ$312,'Safeguard facility data'!$A$4:$A$312,$A253,'Safeguard facility data'!BJ$4:BJ$312,"&gt;0"))</f>
        <v>-3304</v>
      </c>
      <c r="D253" s="67">
        <f>(SUMIFS('Safeguard facility data'!BD$4:BD$312,'Safeguard facility data'!$A$4:$A$312,$A253,'Safeguard facility data'!BD$4:BD$312,"&gt;0"))-(SUMIFS('Safeguard facility data'!BK$4:BK$312,'Safeguard facility data'!$A$4:$A$312,$A253,'Safeguard facility data'!BK$4:BK$312,"&gt;0"))</f>
        <v>23190</v>
      </c>
      <c r="E253" s="67">
        <f>(SUMIFS('Safeguard facility data'!BE$4:BE$312,'Safeguard facility data'!$A$4:$A$312,$A253,'Safeguard facility data'!BE$4:BE$312,"&gt;0"))-(SUMIFS('Safeguard facility data'!BL$4:BL$312,'Safeguard facility data'!$A$4:$A$312,$A253,'Safeguard facility data'!BL$4:BL$312,"&gt;0"))</f>
        <v>2530</v>
      </c>
      <c r="F253" s="67">
        <f>(SUMIFS('Safeguard facility data'!BF$4:BF$312,'Safeguard facility data'!$A$4:$A$312,$A253,'Safeguard facility data'!BF$4:BF$312,"&gt;0"))-(SUMIFS('Safeguard facility data'!BM$4:BM$312,'Safeguard facility data'!$A$4:$A$312,$A253,'Safeguard facility data'!BM$4:BM$312,"&gt;0"))</f>
        <v>126099</v>
      </c>
      <c r="G253" s="67"/>
      <c r="H253" s="67"/>
      <c r="I253" s="67"/>
      <c r="J253" s="67"/>
      <c r="K253" s="67"/>
      <c r="L253" s="67"/>
      <c r="M253" s="67"/>
      <c r="N253" s="67"/>
      <c r="O253" s="67"/>
      <c r="P253" s="67"/>
      <c r="Q253" s="67"/>
    </row>
    <row r="254" spans="1:17">
      <c r="A254" s="87" t="s">
        <v>544</v>
      </c>
      <c r="B254" s="67">
        <f>(SUMIFS('Safeguard facility data'!BB$4:BB$312,'Safeguard facility data'!$A$4:$A$312,$A254,'Safeguard facility data'!BB$4:BB$312,"&gt;0"))-(SUMIFS('Safeguard facility data'!BI$4:BI$312,'Safeguard facility data'!$A$4:$A$312,$A254,'Safeguard facility data'!BI$4:BI$312,"&gt;0"))</f>
        <v>145847</v>
      </c>
      <c r="C254" s="67">
        <f>(SUMIFS('Safeguard facility data'!BC$4:BC$312,'Safeguard facility data'!$A$4:$A$312,$A254,'Safeguard facility data'!BC$4:BC$312,"&gt;0"))-(SUMIFS('Safeguard facility data'!BJ$4:BJ$312,'Safeguard facility data'!$A$4:$A$312,$A254,'Safeguard facility data'!BJ$4:BJ$312,"&gt;0"))</f>
        <v>39471</v>
      </c>
      <c r="D254" s="67">
        <f>(SUMIFS('Safeguard facility data'!BD$4:BD$312,'Safeguard facility data'!$A$4:$A$312,$A254,'Safeguard facility data'!BD$4:BD$312,"&gt;0"))-(SUMIFS('Safeguard facility data'!BK$4:BK$312,'Safeguard facility data'!$A$4:$A$312,$A254,'Safeguard facility data'!BK$4:BK$312,"&gt;0"))</f>
        <v>44570</v>
      </c>
      <c r="E254" s="67">
        <f>(SUMIFS('Safeguard facility data'!BE$4:BE$312,'Safeguard facility data'!$A$4:$A$312,$A254,'Safeguard facility data'!BE$4:BE$312,"&gt;0"))-(SUMIFS('Safeguard facility data'!BL$4:BL$312,'Safeguard facility data'!$A$4:$A$312,$A254,'Safeguard facility data'!BL$4:BL$312,"&gt;0"))</f>
        <v>19403</v>
      </c>
      <c r="F254" s="67">
        <f>(SUMIFS('Safeguard facility data'!BF$4:BF$312,'Safeguard facility data'!$A$4:$A$312,$A254,'Safeguard facility data'!BF$4:BF$312,"&gt;0"))-(SUMIFS('Safeguard facility data'!BM$4:BM$312,'Safeguard facility data'!$A$4:$A$312,$A254,'Safeguard facility data'!BM$4:BM$312,"&gt;0"))</f>
        <v>5146</v>
      </c>
      <c r="G254" s="67"/>
      <c r="H254" s="67"/>
      <c r="I254" s="67"/>
      <c r="J254" s="67"/>
      <c r="K254" s="67"/>
      <c r="L254" s="67"/>
      <c r="M254" s="67"/>
      <c r="N254" s="67"/>
      <c r="O254" s="67"/>
      <c r="P254" s="67"/>
      <c r="Q254" s="67"/>
    </row>
    <row r="255" spans="1:17">
      <c r="A255" s="87" t="s">
        <v>545</v>
      </c>
      <c r="B255" s="67">
        <f>(SUMIFS('Safeguard facility data'!BB$4:BB$312,'Safeguard facility data'!$A$4:$A$312,$A255,'Safeguard facility data'!BB$4:BB$312,"&gt;0"))-(SUMIFS('Safeguard facility data'!BI$4:BI$312,'Safeguard facility data'!$A$4:$A$312,$A255,'Safeguard facility data'!BI$4:BI$312,"&gt;0"))</f>
        <v>121547</v>
      </c>
      <c r="C255" s="67">
        <f>(SUMIFS('Safeguard facility data'!BC$4:BC$312,'Safeguard facility data'!$A$4:$A$312,$A255,'Safeguard facility data'!BC$4:BC$312,"&gt;0"))-(SUMIFS('Safeguard facility data'!BJ$4:BJ$312,'Safeguard facility data'!$A$4:$A$312,$A255,'Safeguard facility data'!BJ$4:BJ$312,"&gt;0"))</f>
        <v>121547</v>
      </c>
      <c r="D255" s="67">
        <f>(SUMIFS('Safeguard facility data'!BD$4:BD$312,'Safeguard facility data'!$A$4:$A$312,$A255,'Safeguard facility data'!BD$4:BD$312,"&gt;0"))-(SUMIFS('Safeguard facility data'!BK$4:BK$312,'Safeguard facility data'!$A$4:$A$312,$A255,'Safeguard facility data'!BK$4:BK$312,"&gt;0"))</f>
        <v>121547</v>
      </c>
      <c r="E255" s="67">
        <f>(SUMIFS('Safeguard facility data'!BE$4:BE$312,'Safeguard facility data'!$A$4:$A$312,$A255,'Safeguard facility data'!BE$4:BE$312,"&gt;0"))-(SUMIFS('Safeguard facility data'!BL$4:BL$312,'Safeguard facility data'!$A$4:$A$312,$A255,'Safeguard facility data'!BL$4:BL$312,"&gt;0"))</f>
        <v>11258</v>
      </c>
      <c r="F255" s="67">
        <f>(SUMIFS('Safeguard facility data'!BF$4:BF$312,'Safeguard facility data'!$A$4:$A$312,$A255,'Safeguard facility data'!BF$4:BF$312,"&gt;0"))-(SUMIFS('Safeguard facility data'!BM$4:BM$312,'Safeguard facility data'!$A$4:$A$312,$A255,'Safeguard facility data'!BM$4:BM$312,"&gt;0"))</f>
        <v>19653</v>
      </c>
      <c r="G255" s="67"/>
      <c r="H255" s="67"/>
      <c r="I255" s="67"/>
      <c r="J255" s="67"/>
      <c r="K255" s="67"/>
      <c r="L255" s="67"/>
      <c r="M255" s="67"/>
      <c r="N255" s="67"/>
      <c r="O255" s="67"/>
      <c r="P255" s="67"/>
      <c r="Q255" s="67"/>
    </row>
    <row r="256" spans="1:17">
      <c r="A256" s="87" t="s">
        <v>546</v>
      </c>
      <c r="B256" s="67">
        <f>(SUMIFS('Safeguard facility data'!BB$4:BB$312,'Safeguard facility data'!$A$4:$A$312,$A256,'Safeguard facility data'!BB$4:BB$312,"&gt;0"))-(SUMIFS('Safeguard facility data'!BI$4:BI$312,'Safeguard facility data'!$A$4:$A$312,$A256,'Safeguard facility data'!BI$4:BI$312,"&gt;0"))</f>
        <v>-81851</v>
      </c>
      <c r="C256" s="67">
        <f>(SUMIFS('Safeguard facility data'!BC$4:BC$312,'Safeguard facility data'!$A$4:$A$312,$A256,'Safeguard facility data'!BC$4:BC$312,"&gt;0"))-(SUMIFS('Safeguard facility data'!BJ$4:BJ$312,'Safeguard facility data'!$A$4:$A$312,$A256,'Safeguard facility data'!BJ$4:BJ$312,"&gt;0"))</f>
        <v>147294</v>
      </c>
      <c r="D256" s="67">
        <f>(SUMIFS('Safeguard facility data'!BD$4:BD$312,'Safeguard facility data'!$A$4:$A$312,$A256,'Safeguard facility data'!BD$4:BD$312,"&gt;0"))-(SUMIFS('Safeguard facility data'!BK$4:BK$312,'Safeguard facility data'!$A$4:$A$312,$A256,'Safeguard facility data'!BK$4:BK$312,"&gt;0"))</f>
        <v>283147</v>
      </c>
      <c r="E256" s="67">
        <f>(SUMIFS('Safeguard facility data'!BE$4:BE$312,'Safeguard facility data'!$A$4:$A$312,$A256,'Safeguard facility data'!BE$4:BE$312,"&gt;0"))-(SUMIFS('Safeguard facility data'!BL$4:BL$312,'Safeguard facility data'!$A$4:$A$312,$A256,'Safeguard facility data'!BL$4:BL$312,"&gt;0"))</f>
        <v>304377</v>
      </c>
      <c r="F256" s="67">
        <f>(SUMIFS('Safeguard facility data'!BF$4:BF$312,'Safeguard facility data'!$A$4:$A$312,$A256,'Safeguard facility data'!BF$4:BF$312,"&gt;0"))-(SUMIFS('Safeguard facility data'!BM$4:BM$312,'Safeguard facility data'!$A$4:$A$312,$A256,'Safeguard facility data'!BM$4:BM$312,"&gt;0"))</f>
        <v>883353</v>
      </c>
      <c r="G256" s="67"/>
      <c r="H256" s="67"/>
      <c r="I256" s="67"/>
      <c r="J256" s="67"/>
      <c r="K256" s="67"/>
      <c r="L256" s="67"/>
      <c r="M256" s="67"/>
      <c r="N256" s="67"/>
      <c r="O256" s="67"/>
      <c r="P256" s="67"/>
      <c r="Q256" s="67"/>
    </row>
    <row r="257" spans="1:17">
      <c r="A257" s="87" t="s">
        <v>547</v>
      </c>
      <c r="B257" s="67">
        <f>(SUMIFS('Safeguard facility data'!BB$4:BB$312,'Safeguard facility data'!$A$4:$A$312,$A257,'Safeguard facility data'!BB$4:BB$312,"&gt;0"))-(SUMIFS('Safeguard facility data'!BI$4:BI$312,'Safeguard facility data'!$A$4:$A$312,$A257,'Safeguard facility data'!BI$4:BI$312,"&gt;0"))</f>
        <v>241526</v>
      </c>
      <c r="C257" s="67">
        <f>(SUMIFS('Safeguard facility data'!BC$4:BC$312,'Safeguard facility data'!$A$4:$A$312,$A257,'Safeguard facility data'!BC$4:BC$312,"&gt;0"))-(SUMIFS('Safeguard facility data'!BJ$4:BJ$312,'Safeguard facility data'!$A$4:$A$312,$A257,'Safeguard facility data'!BJ$4:BJ$312,"&gt;0"))</f>
        <v>113234</v>
      </c>
      <c r="D257" s="67">
        <f>(SUMIFS('Safeguard facility data'!BD$4:BD$312,'Safeguard facility data'!$A$4:$A$312,$A257,'Safeguard facility data'!BD$4:BD$312,"&gt;0"))-(SUMIFS('Safeguard facility data'!BK$4:BK$312,'Safeguard facility data'!$A$4:$A$312,$A257,'Safeguard facility data'!BK$4:BK$312,"&gt;0"))</f>
        <v>36544</v>
      </c>
      <c r="E257" s="67">
        <f>(SUMIFS('Safeguard facility data'!BE$4:BE$312,'Safeguard facility data'!$A$4:$A$312,$A257,'Safeguard facility data'!BE$4:BE$312,"&gt;0"))-(SUMIFS('Safeguard facility data'!BL$4:BL$312,'Safeguard facility data'!$A$4:$A$312,$A257,'Safeguard facility data'!BL$4:BL$312,"&gt;0"))</f>
        <v>373238</v>
      </c>
      <c r="F257" s="67">
        <f>(SUMIFS('Safeguard facility data'!BF$4:BF$312,'Safeguard facility data'!$A$4:$A$312,$A257,'Safeguard facility data'!BF$4:BF$312,"&gt;0"))-(SUMIFS('Safeguard facility data'!BM$4:BM$312,'Safeguard facility data'!$A$4:$A$312,$A257,'Safeguard facility data'!BM$4:BM$312,"&gt;0"))</f>
        <v>398004</v>
      </c>
      <c r="G257" s="67"/>
      <c r="H257" s="67"/>
      <c r="I257" s="67"/>
      <c r="J257" s="67"/>
      <c r="K257" s="67"/>
      <c r="L257" s="67"/>
      <c r="M257" s="67"/>
      <c r="N257" s="67"/>
      <c r="O257" s="67"/>
      <c r="P257" s="67"/>
      <c r="Q257" s="67"/>
    </row>
    <row r="258" spans="1:17">
      <c r="A258" s="87" t="s">
        <v>548</v>
      </c>
      <c r="B258" s="67">
        <f>(SUMIFS('Safeguard facility data'!BB$4:BB$312,'Safeguard facility data'!$A$4:$A$312,$A258,'Safeguard facility data'!BB$4:BB$312,"&gt;0"))-(SUMIFS('Safeguard facility data'!BI$4:BI$312,'Safeguard facility data'!$A$4:$A$312,$A258,'Safeguard facility data'!BI$4:BI$312,"&gt;0"))</f>
        <v>128041</v>
      </c>
      <c r="C258" s="67">
        <f>(SUMIFS('Safeguard facility data'!BC$4:BC$312,'Safeguard facility data'!$A$4:$A$312,$A258,'Safeguard facility data'!BC$4:BC$312,"&gt;0"))-(SUMIFS('Safeguard facility data'!BJ$4:BJ$312,'Safeguard facility data'!$A$4:$A$312,$A258,'Safeguard facility data'!BJ$4:BJ$312,"&gt;0"))</f>
        <v>128041</v>
      </c>
      <c r="D258" s="67">
        <f>(SUMIFS('Safeguard facility data'!BD$4:BD$312,'Safeguard facility data'!$A$4:$A$312,$A258,'Safeguard facility data'!BD$4:BD$312,"&gt;0"))-(SUMIFS('Safeguard facility data'!BK$4:BK$312,'Safeguard facility data'!$A$4:$A$312,$A258,'Safeguard facility data'!BK$4:BK$312,"&gt;0"))</f>
        <v>128041</v>
      </c>
      <c r="E258" s="67">
        <f>(SUMIFS('Safeguard facility data'!BE$4:BE$312,'Safeguard facility data'!$A$4:$A$312,$A258,'Safeguard facility data'!BE$4:BE$312,"&gt;0"))-(SUMIFS('Safeguard facility data'!BL$4:BL$312,'Safeguard facility data'!$A$4:$A$312,$A258,'Safeguard facility data'!BL$4:BL$312,"&gt;0"))</f>
        <v>128041</v>
      </c>
      <c r="F258" s="67">
        <f>(SUMIFS('Safeguard facility data'!BF$4:BF$312,'Safeguard facility data'!$A$4:$A$312,$A258,'Safeguard facility data'!BF$4:BF$312,"&gt;0"))-(SUMIFS('Safeguard facility data'!BM$4:BM$312,'Safeguard facility data'!$A$4:$A$312,$A258,'Safeguard facility data'!BM$4:BM$312,"&gt;0"))</f>
        <v>128041</v>
      </c>
      <c r="G258" s="67"/>
      <c r="H258" s="67"/>
      <c r="I258" s="67"/>
      <c r="J258" s="67"/>
      <c r="K258" s="67"/>
      <c r="L258" s="67"/>
      <c r="M258" s="67"/>
      <c r="N258" s="67"/>
      <c r="O258" s="67"/>
      <c r="P258" s="67"/>
      <c r="Q258" s="67"/>
    </row>
    <row r="259" spans="1:17">
      <c r="A259" s="87" t="s">
        <v>549</v>
      </c>
      <c r="B259" s="67">
        <f>(SUMIFS('Safeguard facility data'!BB$4:BB$312,'Safeguard facility data'!$A$4:$A$312,$A259,'Safeguard facility data'!BB$4:BB$312,"&gt;0"))-(SUMIFS('Safeguard facility data'!BI$4:BI$312,'Safeguard facility data'!$A$4:$A$312,$A259,'Safeguard facility data'!BI$4:BI$312,"&gt;0"))</f>
        <v>53046</v>
      </c>
      <c r="C259" s="67">
        <f>(SUMIFS('Safeguard facility data'!BC$4:BC$312,'Safeguard facility data'!$A$4:$A$312,$A259,'Safeguard facility data'!BC$4:BC$312,"&gt;0"))-(SUMIFS('Safeguard facility data'!BJ$4:BJ$312,'Safeguard facility data'!$A$4:$A$312,$A259,'Safeguard facility data'!BJ$4:BJ$312,"&gt;0"))</f>
        <v>43030</v>
      </c>
      <c r="D259" s="67">
        <f>(SUMIFS('Safeguard facility data'!BD$4:BD$312,'Safeguard facility data'!$A$4:$A$312,$A259,'Safeguard facility data'!BD$4:BD$312,"&gt;0"))-(SUMIFS('Safeguard facility data'!BK$4:BK$312,'Safeguard facility data'!$A$4:$A$312,$A259,'Safeguard facility data'!BK$4:BK$312,"&gt;0"))</f>
        <v>-15298</v>
      </c>
      <c r="E259" s="67">
        <f>(SUMIFS('Safeguard facility data'!BE$4:BE$312,'Safeguard facility data'!$A$4:$A$312,$A259,'Safeguard facility data'!BE$4:BE$312,"&gt;0"))-(SUMIFS('Safeguard facility data'!BL$4:BL$312,'Safeguard facility data'!$A$4:$A$312,$A259,'Safeguard facility data'!BL$4:BL$312,"&gt;0"))</f>
        <v>3728</v>
      </c>
      <c r="F259" s="67">
        <f>(SUMIFS('Safeguard facility data'!BF$4:BF$312,'Safeguard facility data'!$A$4:$A$312,$A259,'Safeguard facility data'!BF$4:BF$312,"&gt;0"))-(SUMIFS('Safeguard facility data'!BM$4:BM$312,'Safeguard facility data'!$A$4:$A$312,$A259,'Safeguard facility data'!BM$4:BM$312,"&gt;0"))</f>
        <v>12863</v>
      </c>
      <c r="G259" s="67"/>
      <c r="H259" s="67"/>
      <c r="I259" s="67"/>
      <c r="J259" s="67"/>
      <c r="K259" s="67"/>
      <c r="L259" s="67"/>
      <c r="M259" s="67"/>
      <c r="N259" s="67"/>
      <c r="O259" s="67"/>
      <c r="P259" s="67"/>
      <c r="Q259" s="67"/>
    </row>
    <row r="260" spans="1:17">
      <c r="A260" s="87" t="s">
        <v>550</v>
      </c>
      <c r="B260" s="67">
        <f>(SUMIFS('Safeguard facility data'!BB$4:BB$312,'Safeguard facility data'!$A$4:$A$312,$A260,'Safeguard facility data'!BB$4:BB$312,"&gt;0"))-(SUMIFS('Safeguard facility data'!BI$4:BI$312,'Safeguard facility data'!$A$4:$A$312,$A260,'Safeguard facility data'!BI$4:BI$312,"&gt;0"))</f>
        <v>215840</v>
      </c>
      <c r="C260" s="67">
        <f>(SUMIFS('Safeguard facility data'!BC$4:BC$312,'Safeguard facility data'!$A$4:$A$312,$A260,'Safeguard facility data'!BC$4:BC$312,"&gt;0"))-(SUMIFS('Safeguard facility data'!BJ$4:BJ$312,'Safeguard facility data'!$A$4:$A$312,$A260,'Safeguard facility data'!BJ$4:BJ$312,"&gt;0"))</f>
        <v>215840</v>
      </c>
      <c r="D260" s="67">
        <f>(SUMIFS('Safeguard facility data'!BD$4:BD$312,'Safeguard facility data'!$A$4:$A$312,$A260,'Safeguard facility data'!BD$4:BD$312,"&gt;0"))-(SUMIFS('Safeguard facility data'!BK$4:BK$312,'Safeguard facility data'!$A$4:$A$312,$A260,'Safeguard facility data'!BK$4:BK$312,"&gt;0"))</f>
        <v>215840</v>
      </c>
      <c r="E260" s="67">
        <f>(SUMIFS('Safeguard facility data'!BE$4:BE$312,'Safeguard facility data'!$A$4:$A$312,$A260,'Safeguard facility data'!BE$4:BE$312,"&gt;0"))-(SUMIFS('Safeguard facility data'!BL$4:BL$312,'Safeguard facility data'!$A$4:$A$312,$A260,'Safeguard facility data'!BL$4:BL$312,"&gt;0"))</f>
        <v>215840</v>
      </c>
      <c r="F260" s="67">
        <f>(SUMIFS('Safeguard facility data'!BF$4:BF$312,'Safeguard facility data'!$A$4:$A$312,$A260,'Safeguard facility data'!BF$4:BF$312,"&gt;0"))-(SUMIFS('Safeguard facility data'!BM$4:BM$312,'Safeguard facility data'!$A$4:$A$312,$A260,'Safeguard facility data'!BM$4:BM$312,"&gt;0"))</f>
        <v>215840</v>
      </c>
      <c r="G260" s="67"/>
      <c r="H260" s="67"/>
      <c r="I260" s="67"/>
      <c r="J260" s="67"/>
      <c r="K260" s="67"/>
      <c r="L260" s="67"/>
      <c r="M260" s="67"/>
      <c r="N260" s="67"/>
      <c r="O260" s="67"/>
      <c r="P260" s="67"/>
      <c r="Q260" s="67"/>
    </row>
    <row r="261" spans="1:17">
      <c r="A261" s="87" t="s">
        <v>551</v>
      </c>
      <c r="B261" s="67">
        <f>(SUMIFS('Safeguard facility data'!BB$4:BB$312,'Safeguard facility data'!$A$4:$A$312,$A261,'Safeguard facility data'!BB$4:BB$312,"&gt;0"))-(SUMIFS('Safeguard facility data'!BI$4:BI$312,'Safeguard facility data'!$A$4:$A$312,$A261,'Safeguard facility data'!BI$4:BI$312,"&gt;0"))</f>
        <v>146128</v>
      </c>
      <c r="C261" s="67">
        <f>(SUMIFS('Safeguard facility data'!BC$4:BC$312,'Safeguard facility data'!$A$4:$A$312,$A261,'Safeguard facility data'!BC$4:BC$312,"&gt;0"))-(SUMIFS('Safeguard facility data'!BJ$4:BJ$312,'Safeguard facility data'!$A$4:$A$312,$A261,'Safeguard facility data'!BJ$4:BJ$312,"&gt;0"))</f>
        <v>146128</v>
      </c>
      <c r="D261" s="67">
        <f>(SUMIFS('Safeguard facility data'!BD$4:BD$312,'Safeguard facility data'!$A$4:$A$312,$A261,'Safeguard facility data'!BD$4:BD$312,"&gt;0"))-(SUMIFS('Safeguard facility data'!BK$4:BK$312,'Safeguard facility data'!$A$4:$A$312,$A261,'Safeguard facility data'!BK$4:BK$312,"&gt;0"))</f>
        <v>146128</v>
      </c>
      <c r="E261" s="67">
        <f>(SUMIFS('Safeguard facility data'!BE$4:BE$312,'Safeguard facility data'!$A$4:$A$312,$A261,'Safeguard facility data'!BE$4:BE$312,"&gt;0"))-(SUMIFS('Safeguard facility data'!BL$4:BL$312,'Safeguard facility data'!$A$4:$A$312,$A261,'Safeguard facility data'!BL$4:BL$312,"&gt;0"))</f>
        <v>146128</v>
      </c>
      <c r="F261" s="67">
        <f>(SUMIFS('Safeguard facility data'!BF$4:BF$312,'Safeguard facility data'!$A$4:$A$312,$A261,'Safeguard facility data'!BF$4:BF$312,"&gt;0"))-(SUMIFS('Safeguard facility data'!BM$4:BM$312,'Safeguard facility data'!$A$4:$A$312,$A261,'Safeguard facility data'!BM$4:BM$312,"&gt;0"))</f>
        <v>146128</v>
      </c>
      <c r="G261" s="67"/>
      <c r="H261" s="67"/>
      <c r="I261" s="67"/>
      <c r="J261" s="67"/>
      <c r="K261" s="67"/>
      <c r="L261" s="67"/>
      <c r="M261" s="67"/>
      <c r="N261" s="67"/>
      <c r="O261" s="67"/>
      <c r="P261" s="67"/>
      <c r="Q261" s="67"/>
    </row>
    <row r="262" spans="1:17">
      <c r="A262" s="87" t="s">
        <v>552</v>
      </c>
      <c r="B262" s="67">
        <f>(SUMIFS('Safeguard facility data'!BB$4:BB$312,'Safeguard facility data'!$A$4:$A$312,$A262,'Safeguard facility data'!BB$4:BB$312,"&gt;0"))-(SUMIFS('Safeguard facility data'!BI$4:BI$312,'Safeguard facility data'!$A$4:$A$312,$A262,'Safeguard facility data'!BI$4:BI$312,"&gt;0"))</f>
        <v>-23976</v>
      </c>
      <c r="C262" s="67">
        <f>(SUMIFS('Safeguard facility data'!BC$4:BC$312,'Safeguard facility data'!$A$4:$A$312,$A262,'Safeguard facility data'!BC$4:BC$312,"&gt;0"))-(SUMIFS('Safeguard facility data'!BJ$4:BJ$312,'Safeguard facility data'!$A$4:$A$312,$A262,'Safeguard facility data'!BJ$4:BJ$312,"&gt;0"))</f>
        <v>-42421</v>
      </c>
      <c r="D262" s="67">
        <f>(SUMIFS('Safeguard facility data'!BD$4:BD$312,'Safeguard facility data'!$A$4:$A$312,$A262,'Safeguard facility data'!BD$4:BD$312,"&gt;0"))-(SUMIFS('Safeguard facility data'!BK$4:BK$312,'Safeguard facility data'!$A$4:$A$312,$A262,'Safeguard facility data'!BK$4:BK$312,"&gt;0"))</f>
        <v>56084</v>
      </c>
      <c r="E262" s="67">
        <f>(SUMIFS('Safeguard facility data'!BE$4:BE$312,'Safeguard facility data'!$A$4:$A$312,$A262,'Safeguard facility data'!BE$4:BE$312,"&gt;0"))-(SUMIFS('Safeguard facility data'!BL$4:BL$312,'Safeguard facility data'!$A$4:$A$312,$A262,'Safeguard facility data'!BL$4:BL$312,"&gt;0"))</f>
        <v>43282</v>
      </c>
      <c r="F262" s="67">
        <f>(SUMIFS('Safeguard facility data'!BF$4:BF$312,'Safeguard facility data'!$A$4:$A$312,$A262,'Safeguard facility data'!BF$4:BF$312,"&gt;0"))-(SUMIFS('Safeguard facility data'!BM$4:BM$312,'Safeguard facility data'!$A$4:$A$312,$A262,'Safeguard facility data'!BM$4:BM$312,"&gt;0"))</f>
        <v>21943</v>
      </c>
      <c r="G262" s="67"/>
      <c r="H262" s="67"/>
      <c r="I262" s="67"/>
      <c r="J262" s="67"/>
      <c r="K262" s="67"/>
      <c r="L262" s="67"/>
      <c r="M262" s="67"/>
      <c r="N262" s="67"/>
      <c r="O262" s="67"/>
      <c r="P262" s="67"/>
      <c r="Q262" s="67"/>
    </row>
    <row r="263" spans="1:17">
      <c r="A263" s="87" t="s">
        <v>553</v>
      </c>
      <c r="B263" s="67">
        <f>(SUMIFS('Safeguard facility data'!BB$4:BB$312,'Safeguard facility data'!$A$4:$A$312,$A263,'Safeguard facility data'!BB$4:BB$312,"&gt;0"))-(SUMIFS('Safeguard facility data'!BI$4:BI$312,'Safeguard facility data'!$A$4:$A$312,$A263,'Safeguard facility data'!BI$4:BI$312,"&gt;0"))</f>
        <v>148776</v>
      </c>
      <c r="C263" s="67">
        <f>(SUMIFS('Safeguard facility data'!BC$4:BC$312,'Safeguard facility data'!$A$4:$A$312,$A263,'Safeguard facility data'!BC$4:BC$312,"&gt;0"))-(SUMIFS('Safeguard facility data'!BJ$4:BJ$312,'Safeguard facility data'!$A$4:$A$312,$A263,'Safeguard facility data'!BJ$4:BJ$312,"&gt;0"))</f>
        <v>159320</v>
      </c>
      <c r="D263" s="67">
        <f>(SUMIFS('Safeguard facility data'!BD$4:BD$312,'Safeguard facility data'!$A$4:$A$312,$A263,'Safeguard facility data'!BD$4:BD$312,"&gt;0"))-(SUMIFS('Safeguard facility data'!BK$4:BK$312,'Safeguard facility data'!$A$4:$A$312,$A263,'Safeguard facility data'!BK$4:BK$312,"&gt;0"))</f>
        <v>279284</v>
      </c>
      <c r="E263" s="67">
        <f>(SUMIFS('Safeguard facility data'!BE$4:BE$312,'Safeguard facility data'!$A$4:$A$312,$A263,'Safeguard facility data'!BE$4:BE$312,"&gt;0"))-(SUMIFS('Safeguard facility data'!BL$4:BL$312,'Safeguard facility data'!$A$4:$A$312,$A263,'Safeguard facility data'!BL$4:BL$312,"&gt;0"))</f>
        <v>168334</v>
      </c>
      <c r="F263" s="67">
        <f>(SUMIFS('Safeguard facility data'!BF$4:BF$312,'Safeguard facility data'!$A$4:$A$312,$A263,'Safeguard facility data'!BF$4:BF$312,"&gt;0"))-(SUMIFS('Safeguard facility data'!BM$4:BM$312,'Safeguard facility data'!$A$4:$A$312,$A263,'Safeguard facility data'!BM$4:BM$312,"&gt;0"))</f>
        <v>46789</v>
      </c>
      <c r="G263" s="67"/>
      <c r="H263" s="67"/>
      <c r="I263" s="67"/>
      <c r="J263" s="67"/>
      <c r="K263" s="67"/>
      <c r="L263" s="67"/>
      <c r="M263" s="67"/>
      <c r="N263" s="67"/>
      <c r="O263" s="67"/>
      <c r="P263" s="67"/>
      <c r="Q263" s="67"/>
    </row>
    <row r="264" spans="1:17">
      <c r="A264" s="87" t="s">
        <v>554</v>
      </c>
      <c r="B264" s="67">
        <f>(SUMIFS('Safeguard facility data'!BB$4:BB$312,'Safeguard facility data'!$A$4:$A$312,$A264,'Safeguard facility data'!BB$4:BB$312,"&gt;0"))-(SUMIFS('Safeguard facility data'!BI$4:BI$312,'Safeguard facility data'!$A$4:$A$312,$A264,'Safeguard facility data'!BI$4:BI$312,"&gt;0"))</f>
        <v>86735</v>
      </c>
      <c r="C264" s="67">
        <f>(SUMIFS('Safeguard facility data'!BC$4:BC$312,'Safeguard facility data'!$A$4:$A$312,$A264,'Safeguard facility data'!BC$4:BC$312,"&gt;0"))-(SUMIFS('Safeguard facility data'!BJ$4:BJ$312,'Safeguard facility data'!$A$4:$A$312,$A264,'Safeguard facility data'!BJ$4:BJ$312,"&gt;0"))</f>
        <v>70814</v>
      </c>
      <c r="D264" s="67">
        <f>(SUMIFS('Safeguard facility data'!BD$4:BD$312,'Safeguard facility data'!$A$4:$A$312,$A264,'Safeguard facility data'!BD$4:BD$312,"&gt;0"))-(SUMIFS('Safeguard facility data'!BK$4:BK$312,'Safeguard facility data'!$A$4:$A$312,$A264,'Safeguard facility data'!BK$4:BK$312,"&gt;0"))</f>
        <v>104158</v>
      </c>
      <c r="E264" s="67">
        <f>(SUMIFS('Safeguard facility data'!BE$4:BE$312,'Safeguard facility data'!$A$4:$A$312,$A264,'Safeguard facility data'!BE$4:BE$312,"&gt;0"))-(SUMIFS('Safeguard facility data'!BL$4:BL$312,'Safeguard facility data'!$A$4:$A$312,$A264,'Safeguard facility data'!BL$4:BL$312,"&gt;0"))</f>
        <v>77120</v>
      </c>
      <c r="F264" s="67">
        <f>(SUMIFS('Safeguard facility data'!BF$4:BF$312,'Safeguard facility data'!$A$4:$A$312,$A264,'Safeguard facility data'!BF$4:BF$312,"&gt;0"))-(SUMIFS('Safeguard facility data'!BM$4:BM$312,'Safeguard facility data'!$A$4:$A$312,$A264,'Safeguard facility data'!BM$4:BM$312,"&gt;0"))</f>
        <v>111228</v>
      </c>
      <c r="G264" s="67"/>
      <c r="H264" s="67"/>
      <c r="I264" s="67"/>
      <c r="J264" s="67"/>
      <c r="K264" s="67"/>
      <c r="L264" s="67"/>
      <c r="M264" s="67"/>
      <c r="N264" s="67"/>
      <c r="O264" s="67"/>
      <c r="P264" s="67"/>
      <c r="Q264" s="67"/>
    </row>
    <row r="265" spans="1:17">
      <c r="A265" s="87" t="s">
        <v>555</v>
      </c>
      <c r="B265" s="67">
        <f>(SUMIFS('Safeguard facility data'!BB$4:BB$312,'Safeguard facility data'!$A$4:$A$312,$A265,'Safeguard facility data'!BB$4:BB$312,"&gt;0"))-(SUMIFS('Safeguard facility data'!BI$4:BI$312,'Safeguard facility data'!$A$4:$A$312,$A265,'Safeguard facility data'!BI$4:BI$312,"&gt;0"))</f>
        <v>39434</v>
      </c>
      <c r="C265" s="67">
        <f>(SUMIFS('Safeguard facility data'!BC$4:BC$312,'Safeguard facility data'!$A$4:$A$312,$A265,'Safeguard facility data'!BC$4:BC$312,"&gt;0"))-(SUMIFS('Safeguard facility data'!BJ$4:BJ$312,'Safeguard facility data'!$A$4:$A$312,$A265,'Safeguard facility data'!BJ$4:BJ$312,"&gt;0"))</f>
        <v>12542</v>
      </c>
      <c r="D265" s="67">
        <f>(SUMIFS('Safeguard facility data'!BD$4:BD$312,'Safeguard facility data'!$A$4:$A$312,$A265,'Safeguard facility data'!BD$4:BD$312,"&gt;0"))-(SUMIFS('Safeguard facility data'!BK$4:BK$312,'Safeguard facility data'!$A$4:$A$312,$A265,'Safeguard facility data'!BK$4:BK$312,"&gt;0"))</f>
        <v>77524</v>
      </c>
      <c r="E265" s="67">
        <f>(SUMIFS('Safeguard facility data'!BE$4:BE$312,'Safeguard facility data'!$A$4:$A$312,$A265,'Safeguard facility data'!BE$4:BE$312,"&gt;0"))-(SUMIFS('Safeguard facility data'!BL$4:BL$312,'Safeguard facility data'!$A$4:$A$312,$A265,'Safeguard facility data'!BL$4:BL$312,"&gt;0"))</f>
        <v>93663</v>
      </c>
      <c r="F265" s="67">
        <f>(SUMIFS('Safeguard facility data'!BF$4:BF$312,'Safeguard facility data'!$A$4:$A$312,$A265,'Safeguard facility data'!BF$4:BF$312,"&gt;0"))-(SUMIFS('Safeguard facility data'!BM$4:BM$312,'Safeguard facility data'!$A$4:$A$312,$A265,'Safeguard facility data'!BM$4:BM$312,"&gt;0"))</f>
        <v>188914</v>
      </c>
      <c r="G265" s="67"/>
      <c r="H265" s="67"/>
      <c r="I265" s="67"/>
      <c r="J265" s="67"/>
      <c r="K265" s="67"/>
      <c r="L265" s="67"/>
      <c r="M265" s="67"/>
      <c r="N265" s="67"/>
      <c r="O265" s="67"/>
      <c r="P265" s="67"/>
      <c r="Q265" s="67"/>
    </row>
    <row r="266" spans="1:17">
      <c r="A266" s="87" t="s">
        <v>556</v>
      </c>
      <c r="B266" s="67">
        <f>(SUMIFS('Safeguard facility data'!BB$4:BB$312,'Safeguard facility data'!$A$4:$A$312,$A266,'Safeguard facility data'!BB$4:BB$312,"&gt;0"))-(SUMIFS('Safeguard facility data'!BI$4:BI$312,'Safeguard facility data'!$A$4:$A$312,$A266,'Safeguard facility data'!BI$4:BI$312,"&gt;0"))</f>
        <v>0</v>
      </c>
      <c r="C266" s="67">
        <f>(SUMIFS('Safeguard facility data'!BC$4:BC$312,'Safeguard facility data'!$A$4:$A$312,$A266,'Safeguard facility data'!BC$4:BC$312,"&gt;0"))-(SUMIFS('Safeguard facility data'!BJ$4:BJ$312,'Safeguard facility data'!$A$4:$A$312,$A266,'Safeguard facility data'!BJ$4:BJ$312,"&gt;0"))</f>
        <v>6569849</v>
      </c>
      <c r="D266" s="67">
        <f>(SUMIFS('Safeguard facility data'!BD$4:BD$312,'Safeguard facility data'!$A$4:$A$312,$A266,'Safeguard facility data'!BD$4:BD$312,"&gt;0"))-(SUMIFS('Safeguard facility data'!BK$4:BK$312,'Safeguard facility data'!$A$4:$A$312,$A266,'Safeguard facility data'!BK$4:BK$312,"&gt;0"))</f>
        <v>718493</v>
      </c>
      <c r="E266" s="67">
        <f>(SUMIFS('Safeguard facility data'!BE$4:BE$312,'Safeguard facility data'!$A$4:$A$312,$A266,'Safeguard facility data'!BE$4:BE$312,"&gt;0"))-(SUMIFS('Safeguard facility data'!BL$4:BL$312,'Safeguard facility data'!$A$4:$A$312,$A266,'Safeguard facility data'!BL$4:BL$312,"&gt;0"))</f>
        <v>-652157</v>
      </c>
      <c r="F266" s="67">
        <f>(SUMIFS('Safeguard facility data'!BF$4:BF$312,'Safeguard facility data'!$A$4:$A$312,$A266,'Safeguard facility data'!BF$4:BF$312,"&gt;0"))-(SUMIFS('Safeguard facility data'!BM$4:BM$312,'Safeguard facility data'!$A$4:$A$312,$A266,'Safeguard facility data'!BM$4:BM$312,"&gt;0"))</f>
        <v>716544</v>
      </c>
      <c r="G266" s="67"/>
      <c r="H266" s="67"/>
      <c r="I266" s="67"/>
      <c r="J266" s="67"/>
      <c r="K266" s="67"/>
      <c r="L266" s="67"/>
      <c r="M266" s="67"/>
      <c r="N266" s="67"/>
      <c r="O266" s="67"/>
      <c r="P266" s="67"/>
      <c r="Q266" s="67"/>
    </row>
    <row r="267" spans="1:17">
      <c r="A267" s="87" t="s">
        <v>557</v>
      </c>
      <c r="B267" s="67">
        <f>(SUMIFS('Safeguard facility data'!BB$4:BB$312,'Safeguard facility data'!$A$4:$A$312,$A267,'Safeguard facility data'!BB$4:BB$312,"&gt;0"))-(SUMIFS('Safeguard facility data'!BI$4:BI$312,'Safeguard facility data'!$A$4:$A$312,$A267,'Safeguard facility data'!BI$4:BI$312,"&gt;0"))</f>
        <v>-7942</v>
      </c>
      <c r="C267" s="67">
        <f>(SUMIFS('Safeguard facility data'!BC$4:BC$312,'Safeguard facility data'!$A$4:$A$312,$A267,'Safeguard facility data'!BC$4:BC$312,"&gt;0"))-(SUMIFS('Safeguard facility data'!BJ$4:BJ$312,'Safeguard facility data'!$A$4:$A$312,$A267,'Safeguard facility data'!BJ$4:BJ$312,"&gt;0"))</f>
        <v>18702</v>
      </c>
      <c r="D267" s="67">
        <f>(SUMIFS('Safeguard facility data'!BD$4:BD$312,'Safeguard facility data'!$A$4:$A$312,$A267,'Safeguard facility data'!BD$4:BD$312,"&gt;0"))-(SUMIFS('Safeguard facility data'!BK$4:BK$312,'Safeguard facility data'!$A$4:$A$312,$A267,'Safeguard facility data'!BK$4:BK$312,"&gt;0"))</f>
        <v>47527</v>
      </c>
      <c r="E267" s="67">
        <f>(SUMIFS('Safeguard facility data'!BE$4:BE$312,'Safeguard facility data'!$A$4:$A$312,$A267,'Safeguard facility data'!BE$4:BE$312,"&gt;0"))-(SUMIFS('Safeguard facility data'!BL$4:BL$312,'Safeguard facility data'!$A$4:$A$312,$A267,'Safeguard facility data'!BL$4:BL$312,"&gt;0"))</f>
        <v>53553</v>
      </c>
      <c r="F267" s="67">
        <f>(SUMIFS('Safeguard facility data'!BF$4:BF$312,'Safeguard facility data'!$A$4:$A$312,$A267,'Safeguard facility data'!BF$4:BF$312,"&gt;0"))-(SUMIFS('Safeguard facility data'!BM$4:BM$312,'Safeguard facility data'!$A$4:$A$312,$A267,'Safeguard facility data'!BM$4:BM$312,"&gt;0"))</f>
        <v>159748</v>
      </c>
      <c r="G267" s="67"/>
      <c r="H267" s="67"/>
      <c r="I267" s="67"/>
      <c r="J267" s="67"/>
      <c r="K267" s="67"/>
      <c r="L267" s="67"/>
      <c r="M267" s="67"/>
      <c r="N267" s="67"/>
      <c r="O267" s="67"/>
      <c r="P267" s="67"/>
      <c r="Q267" s="67"/>
    </row>
    <row r="268" spans="1:17">
      <c r="A268" s="87" t="s">
        <v>558</v>
      </c>
      <c r="B268" s="67">
        <f>(SUMIFS('Safeguard facility data'!BB$4:BB$312,'Safeguard facility data'!$A$4:$A$312,$A268,'Safeguard facility data'!BB$4:BB$312,"&gt;0"))-(SUMIFS('Safeguard facility data'!BI$4:BI$312,'Safeguard facility data'!$A$4:$A$312,$A268,'Safeguard facility data'!BI$4:BI$312,"&gt;0"))</f>
        <v>27205</v>
      </c>
      <c r="C268" s="67">
        <f>(SUMIFS('Safeguard facility data'!BC$4:BC$312,'Safeguard facility data'!$A$4:$A$312,$A268,'Safeguard facility data'!BC$4:BC$312,"&gt;0"))-(SUMIFS('Safeguard facility data'!BJ$4:BJ$312,'Safeguard facility data'!$A$4:$A$312,$A268,'Safeguard facility data'!BJ$4:BJ$312,"&gt;0"))</f>
        <v>20530</v>
      </c>
      <c r="D268" s="67">
        <f>(SUMIFS('Safeguard facility data'!BD$4:BD$312,'Safeguard facility data'!$A$4:$A$312,$A268,'Safeguard facility data'!BD$4:BD$312,"&gt;0"))-(SUMIFS('Safeguard facility data'!BK$4:BK$312,'Safeguard facility data'!$A$4:$A$312,$A268,'Safeguard facility data'!BK$4:BK$312,"&gt;0"))</f>
        <v>-1125</v>
      </c>
      <c r="E268" s="67">
        <f>(SUMIFS('Safeguard facility data'!BE$4:BE$312,'Safeguard facility data'!$A$4:$A$312,$A268,'Safeguard facility data'!BE$4:BE$312,"&gt;0"))-(SUMIFS('Safeguard facility data'!BL$4:BL$312,'Safeguard facility data'!$A$4:$A$312,$A268,'Safeguard facility data'!BL$4:BL$312,"&gt;0"))</f>
        <v>20366</v>
      </c>
      <c r="F268" s="67">
        <f>(SUMIFS('Safeguard facility data'!BF$4:BF$312,'Safeguard facility data'!$A$4:$A$312,$A268,'Safeguard facility data'!BF$4:BF$312,"&gt;0"))-(SUMIFS('Safeguard facility data'!BM$4:BM$312,'Safeguard facility data'!$A$4:$A$312,$A268,'Safeguard facility data'!BM$4:BM$312,"&gt;0"))</f>
        <v>8105</v>
      </c>
      <c r="G268" s="67"/>
      <c r="H268" s="67"/>
      <c r="I268" s="67"/>
      <c r="J268" s="67"/>
      <c r="K268" s="67"/>
      <c r="L268" s="67"/>
      <c r="M268" s="67"/>
      <c r="N268" s="67"/>
      <c r="O268" s="67"/>
      <c r="P268" s="67"/>
      <c r="Q268" s="67"/>
    </row>
    <row r="269" spans="1:17">
      <c r="A269" s="87" t="s">
        <v>559</v>
      </c>
      <c r="B269" s="67">
        <f>(SUMIFS('Safeguard facility data'!BB$4:BB$312,'Safeguard facility data'!$A$4:$A$312,$A269,'Safeguard facility data'!BB$4:BB$312,"&gt;0"))-(SUMIFS('Safeguard facility data'!BI$4:BI$312,'Safeguard facility data'!$A$4:$A$312,$A269,'Safeguard facility data'!BI$4:BI$312,"&gt;0"))</f>
        <v>201349</v>
      </c>
      <c r="C269" s="67">
        <f>(SUMIFS('Safeguard facility data'!BC$4:BC$312,'Safeguard facility data'!$A$4:$A$312,$A269,'Safeguard facility data'!BC$4:BC$312,"&gt;0"))-(SUMIFS('Safeguard facility data'!BJ$4:BJ$312,'Safeguard facility data'!$A$4:$A$312,$A269,'Safeguard facility data'!BJ$4:BJ$312,"&gt;0"))</f>
        <v>201349</v>
      </c>
      <c r="D269" s="67">
        <f>(SUMIFS('Safeguard facility data'!BD$4:BD$312,'Safeguard facility data'!$A$4:$A$312,$A269,'Safeguard facility data'!BD$4:BD$312,"&gt;0"))-(SUMIFS('Safeguard facility data'!BK$4:BK$312,'Safeguard facility data'!$A$4:$A$312,$A269,'Safeguard facility data'!BK$4:BK$312,"&gt;0"))</f>
        <v>201349</v>
      </c>
      <c r="E269" s="67">
        <f>(SUMIFS('Safeguard facility data'!BE$4:BE$312,'Safeguard facility data'!$A$4:$A$312,$A269,'Safeguard facility data'!BE$4:BE$312,"&gt;0"))-(SUMIFS('Safeguard facility data'!BL$4:BL$312,'Safeguard facility data'!$A$4:$A$312,$A269,'Safeguard facility data'!BL$4:BL$312,"&gt;0"))</f>
        <v>201349</v>
      </c>
      <c r="F269" s="67">
        <f>(SUMIFS('Safeguard facility data'!BF$4:BF$312,'Safeguard facility data'!$A$4:$A$312,$A269,'Safeguard facility data'!BF$4:BF$312,"&gt;0"))-(SUMIFS('Safeguard facility data'!BM$4:BM$312,'Safeguard facility data'!$A$4:$A$312,$A269,'Safeguard facility data'!BM$4:BM$312,"&gt;0"))</f>
        <v>201349</v>
      </c>
      <c r="G269" s="67"/>
      <c r="H269" s="67"/>
      <c r="I269" s="67"/>
      <c r="J269" s="67"/>
      <c r="K269" s="67"/>
      <c r="L269" s="67"/>
      <c r="M269" s="67"/>
      <c r="N269" s="67"/>
      <c r="O269" s="67"/>
      <c r="P269" s="67"/>
      <c r="Q269" s="67"/>
    </row>
    <row r="270" spans="1:17">
      <c r="A270" s="87" t="s">
        <v>560</v>
      </c>
      <c r="B270" s="67">
        <f>(SUMIFS('Safeguard facility data'!BB$4:BB$312,'Safeguard facility data'!$A$4:$A$312,$A270,'Safeguard facility data'!BB$4:BB$312,"&gt;0"))-(SUMIFS('Safeguard facility data'!BI$4:BI$312,'Safeguard facility data'!$A$4:$A$312,$A270,'Safeguard facility data'!BI$4:BI$312,"&gt;0"))</f>
        <v>33766</v>
      </c>
      <c r="C270" s="67">
        <f>(SUMIFS('Safeguard facility data'!BC$4:BC$312,'Safeguard facility data'!$A$4:$A$312,$A270,'Safeguard facility data'!BC$4:BC$312,"&gt;0"))-(SUMIFS('Safeguard facility data'!BJ$4:BJ$312,'Safeguard facility data'!$A$4:$A$312,$A270,'Safeguard facility data'!BJ$4:BJ$312,"&gt;0"))</f>
        <v>7603</v>
      </c>
      <c r="D270" s="67">
        <f>(SUMIFS('Safeguard facility data'!BD$4:BD$312,'Safeguard facility data'!$A$4:$A$312,$A270,'Safeguard facility data'!BD$4:BD$312,"&gt;0"))-(SUMIFS('Safeguard facility data'!BK$4:BK$312,'Safeguard facility data'!$A$4:$A$312,$A270,'Safeguard facility data'!BK$4:BK$312,"&gt;0"))</f>
        <v>18661</v>
      </c>
      <c r="E270" s="67">
        <f>(SUMIFS('Safeguard facility data'!BE$4:BE$312,'Safeguard facility data'!$A$4:$A$312,$A270,'Safeguard facility data'!BE$4:BE$312,"&gt;0"))-(SUMIFS('Safeguard facility data'!BL$4:BL$312,'Safeguard facility data'!$A$4:$A$312,$A270,'Safeguard facility data'!BL$4:BL$312,"&gt;0"))</f>
        <v>9948</v>
      </c>
      <c r="F270" s="67">
        <f>(SUMIFS('Safeguard facility data'!BF$4:BF$312,'Safeguard facility data'!$A$4:$A$312,$A270,'Safeguard facility data'!BF$4:BF$312,"&gt;0"))-(SUMIFS('Safeguard facility data'!BM$4:BM$312,'Safeguard facility data'!$A$4:$A$312,$A270,'Safeguard facility data'!BM$4:BM$312,"&gt;0"))</f>
        <v>35966</v>
      </c>
      <c r="G270" s="67"/>
      <c r="H270" s="67"/>
      <c r="I270" s="67"/>
      <c r="J270" s="67"/>
      <c r="K270" s="67"/>
      <c r="L270" s="67"/>
      <c r="M270" s="67"/>
      <c r="N270" s="67"/>
      <c r="O270" s="67"/>
      <c r="P270" s="67"/>
      <c r="Q270" s="67"/>
    </row>
    <row r="271" spans="1:17">
      <c r="A271" s="87" t="s">
        <v>561</v>
      </c>
      <c r="B271" s="67">
        <f>(SUMIFS('Safeguard facility data'!BB$4:BB$312,'Safeguard facility data'!$A$4:$A$312,$A271,'Safeguard facility data'!BB$4:BB$312,"&gt;0"))-(SUMIFS('Safeguard facility data'!BI$4:BI$312,'Safeguard facility data'!$A$4:$A$312,$A271,'Safeguard facility data'!BI$4:BI$312,"&gt;0"))</f>
        <v>125025</v>
      </c>
      <c r="C271" s="67">
        <f>(SUMIFS('Safeguard facility data'!BC$4:BC$312,'Safeguard facility data'!$A$4:$A$312,$A271,'Safeguard facility data'!BC$4:BC$312,"&gt;0"))-(SUMIFS('Safeguard facility data'!BJ$4:BJ$312,'Safeguard facility data'!$A$4:$A$312,$A271,'Safeguard facility data'!BJ$4:BJ$312,"&gt;0"))</f>
        <v>125025</v>
      </c>
      <c r="D271" s="67">
        <f>(SUMIFS('Safeguard facility data'!BD$4:BD$312,'Safeguard facility data'!$A$4:$A$312,$A271,'Safeguard facility data'!BD$4:BD$312,"&gt;0"))-(SUMIFS('Safeguard facility data'!BK$4:BK$312,'Safeguard facility data'!$A$4:$A$312,$A271,'Safeguard facility data'!BK$4:BK$312,"&gt;0"))</f>
        <v>125025</v>
      </c>
      <c r="E271" s="67">
        <f>(SUMIFS('Safeguard facility data'!BE$4:BE$312,'Safeguard facility data'!$A$4:$A$312,$A271,'Safeguard facility data'!BE$4:BE$312,"&gt;0"))-(SUMIFS('Safeguard facility data'!BL$4:BL$312,'Safeguard facility data'!$A$4:$A$312,$A271,'Safeguard facility data'!BL$4:BL$312,"&gt;0"))</f>
        <v>125025</v>
      </c>
      <c r="F271" s="67">
        <f>(SUMIFS('Safeguard facility data'!BF$4:BF$312,'Safeguard facility data'!$A$4:$A$312,$A271,'Safeguard facility data'!BF$4:BF$312,"&gt;0"))-(SUMIFS('Safeguard facility data'!BM$4:BM$312,'Safeguard facility data'!$A$4:$A$312,$A271,'Safeguard facility data'!BM$4:BM$312,"&gt;0"))</f>
        <v>125025</v>
      </c>
      <c r="G271" s="67"/>
      <c r="H271" s="67"/>
      <c r="I271" s="67"/>
      <c r="J271" s="67"/>
      <c r="K271" s="67"/>
      <c r="L271" s="67"/>
      <c r="M271" s="67"/>
      <c r="N271" s="67"/>
      <c r="O271" s="67"/>
      <c r="P271" s="67"/>
      <c r="Q271" s="67"/>
    </row>
    <row r="272" spans="1:17">
      <c r="A272" s="87" t="s">
        <v>562</v>
      </c>
      <c r="B272" s="67">
        <f>(SUMIFS('Safeguard facility data'!BB$4:BB$312,'Safeguard facility data'!$A$4:$A$312,$A272,'Safeguard facility data'!BB$4:BB$312,"&gt;0"))-(SUMIFS('Safeguard facility data'!BI$4:BI$312,'Safeguard facility data'!$A$4:$A$312,$A272,'Safeguard facility data'!BI$4:BI$312,"&gt;0"))</f>
        <v>160886</v>
      </c>
      <c r="C272" s="67">
        <f>(SUMIFS('Safeguard facility data'!BC$4:BC$312,'Safeguard facility data'!$A$4:$A$312,$A272,'Safeguard facility data'!BC$4:BC$312,"&gt;0"))-(SUMIFS('Safeguard facility data'!BJ$4:BJ$312,'Safeguard facility data'!$A$4:$A$312,$A272,'Safeguard facility data'!BJ$4:BJ$312,"&gt;0"))</f>
        <v>96950</v>
      </c>
      <c r="D272" s="67">
        <f>(SUMIFS('Safeguard facility data'!BD$4:BD$312,'Safeguard facility data'!$A$4:$A$312,$A272,'Safeguard facility data'!BD$4:BD$312,"&gt;0"))-(SUMIFS('Safeguard facility data'!BK$4:BK$312,'Safeguard facility data'!$A$4:$A$312,$A272,'Safeguard facility data'!BK$4:BK$312,"&gt;0"))</f>
        <v>88841</v>
      </c>
      <c r="E272" s="67">
        <f>(SUMIFS('Safeguard facility data'!BE$4:BE$312,'Safeguard facility data'!$A$4:$A$312,$A272,'Safeguard facility data'!BE$4:BE$312,"&gt;0"))-(SUMIFS('Safeguard facility data'!BL$4:BL$312,'Safeguard facility data'!$A$4:$A$312,$A272,'Safeguard facility data'!BL$4:BL$312,"&gt;0"))</f>
        <v>139503</v>
      </c>
      <c r="F272" s="67">
        <f>(SUMIFS('Safeguard facility data'!BF$4:BF$312,'Safeguard facility data'!$A$4:$A$312,$A272,'Safeguard facility data'!BF$4:BF$312,"&gt;0"))-(SUMIFS('Safeguard facility data'!BM$4:BM$312,'Safeguard facility data'!$A$4:$A$312,$A272,'Safeguard facility data'!BM$4:BM$312,"&gt;0"))</f>
        <v>126760</v>
      </c>
      <c r="G272" s="67"/>
      <c r="H272" s="67"/>
      <c r="I272" s="67"/>
      <c r="J272" s="67"/>
      <c r="K272" s="67"/>
      <c r="L272" s="67"/>
      <c r="M272" s="67"/>
      <c r="N272" s="67"/>
      <c r="O272" s="67"/>
      <c r="P272" s="67"/>
      <c r="Q272" s="67"/>
    </row>
    <row r="273" spans="1:17">
      <c r="A273" s="87" t="s">
        <v>563</v>
      </c>
      <c r="B273" s="67">
        <f>(SUMIFS('Safeguard facility data'!BB$4:BB$312,'Safeguard facility data'!$A$4:$A$312,$A273,'Safeguard facility data'!BB$4:BB$312,"&gt;0"))-(SUMIFS('Safeguard facility data'!BI$4:BI$312,'Safeguard facility data'!$A$4:$A$312,$A273,'Safeguard facility data'!BI$4:BI$312,"&gt;0"))</f>
        <v>57878</v>
      </c>
      <c r="C273" s="67">
        <f>(SUMIFS('Safeguard facility data'!BC$4:BC$312,'Safeguard facility data'!$A$4:$A$312,$A273,'Safeguard facility data'!BC$4:BC$312,"&gt;0"))-(SUMIFS('Safeguard facility data'!BJ$4:BJ$312,'Safeguard facility data'!$A$4:$A$312,$A273,'Safeguard facility data'!BJ$4:BJ$312,"&gt;0"))</f>
        <v>19534</v>
      </c>
      <c r="D273" s="67">
        <f>(SUMIFS('Safeguard facility data'!BD$4:BD$312,'Safeguard facility data'!$A$4:$A$312,$A273,'Safeguard facility data'!BD$4:BD$312,"&gt;0"))-(SUMIFS('Safeguard facility data'!BK$4:BK$312,'Safeguard facility data'!$A$4:$A$312,$A273,'Safeguard facility data'!BK$4:BK$312,"&gt;0"))</f>
        <v>69675</v>
      </c>
      <c r="E273" s="67">
        <f>(SUMIFS('Safeguard facility data'!BE$4:BE$312,'Safeguard facility data'!$A$4:$A$312,$A273,'Safeguard facility data'!BE$4:BE$312,"&gt;0"))-(SUMIFS('Safeguard facility data'!BL$4:BL$312,'Safeguard facility data'!$A$4:$A$312,$A273,'Safeguard facility data'!BL$4:BL$312,"&gt;0"))</f>
        <v>203160</v>
      </c>
      <c r="F273" s="67">
        <f>(SUMIFS('Safeguard facility data'!BF$4:BF$312,'Safeguard facility data'!$A$4:$A$312,$A273,'Safeguard facility data'!BF$4:BF$312,"&gt;0"))-(SUMIFS('Safeguard facility data'!BM$4:BM$312,'Safeguard facility data'!$A$4:$A$312,$A273,'Safeguard facility data'!BM$4:BM$312,"&gt;0"))</f>
        <v>229610</v>
      </c>
      <c r="G273" s="67"/>
      <c r="H273" s="67"/>
      <c r="I273" s="67"/>
      <c r="J273" s="67"/>
      <c r="K273" s="67"/>
      <c r="L273" s="67"/>
      <c r="M273" s="67"/>
      <c r="N273" s="67"/>
      <c r="O273" s="67"/>
      <c r="P273" s="67"/>
      <c r="Q273" s="67"/>
    </row>
    <row r="274" spans="1:17">
      <c r="A274" s="87" t="s">
        <v>564</v>
      </c>
      <c r="B274" s="67">
        <f>(SUMIFS('Safeguard facility data'!BB$4:BB$312,'Safeguard facility data'!$A$4:$A$312,$A274,'Safeguard facility data'!BB$4:BB$312,"&gt;0"))-(SUMIFS('Safeguard facility data'!BI$4:BI$312,'Safeguard facility data'!$A$4:$A$312,$A274,'Safeguard facility data'!BI$4:BI$312,"&gt;0"))</f>
        <v>146390</v>
      </c>
      <c r="C274" s="67">
        <f>(SUMIFS('Safeguard facility data'!BC$4:BC$312,'Safeguard facility data'!$A$4:$A$312,$A274,'Safeguard facility data'!BC$4:BC$312,"&gt;0"))-(SUMIFS('Safeguard facility data'!BJ$4:BJ$312,'Safeguard facility data'!$A$4:$A$312,$A274,'Safeguard facility data'!BJ$4:BJ$312,"&gt;0"))</f>
        <v>146390</v>
      </c>
      <c r="D274" s="67">
        <f>(SUMIFS('Safeguard facility data'!BD$4:BD$312,'Safeguard facility data'!$A$4:$A$312,$A274,'Safeguard facility data'!BD$4:BD$312,"&gt;0"))-(SUMIFS('Safeguard facility data'!BK$4:BK$312,'Safeguard facility data'!$A$4:$A$312,$A274,'Safeguard facility data'!BK$4:BK$312,"&gt;0"))</f>
        <v>146390</v>
      </c>
      <c r="E274" s="67">
        <f>(SUMIFS('Safeguard facility data'!BE$4:BE$312,'Safeguard facility data'!$A$4:$A$312,$A274,'Safeguard facility data'!BE$4:BE$312,"&gt;0"))-(SUMIFS('Safeguard facility data'!BL$4:BL$312,'Safeguard facility data'!$A$4:$A$312,$A274,'Safeguard facility data'!BL$4:BL$312,"&gt;0"))</f>
        <v>146390</v>
      </c>
      <c r="F274" s="67">
        <f>(SUMIFS('Safeguard facility data'!BF$4:BF$312,'Safeguard facility data'!$A$4:$A$312,$A274,'Safeguard facility data'!BF$4:BF$312,"&gt;0"))-(SUMIFS('Safeguard facility data'!BM$4:BM$312,'Safeguard facility data'!$A$4:$A$312,$A274,'Safeguard facility data'!BM$4:BM$312,"&gt;0"))</f>
        <v>146390</v>
      </c>
      <c r="G274" s="67"/>
      <c r="H274" s="67"/>
      <c r="I274" s="67"/>
      <c r="J274" s="67"/>
      <c r="K274" s="67"/>
      <c r="L274" s="67"/>
      <c r="M274" s="67"/>
      <c r="N274" s="67"/>
      <c r="O274" s="67"/>
      <c r="P274" s="67"/>
      <c r="Q274" s="67"/>
    </row>
    <row r="275" spans="1:17">
      <c r="A275" s="87" t="s">
        <v>565</v>
      </c>
      <c r="B275" s="67">
        <f>(SUMIFS('Safeguard facility data'!BB$4:BB$312,'Safeguard facility data'!$A$4:$A$312,$A275,'Safeguard facility data'!BB$4:BB$312,"&gt;0"))-(SUMIFS('Safeguard facility data'!BI$4:BI$312,'Safeguard facility data'!$A$4:$A$312,$A275,'Safeguard facility data'!BI$4:BI$312,"&gt;0"))</f>
        <v>0</v>
      </c>
      <c r="C275" s="67">
        <f>(SUMIFS('Safeguard facility data'!BC$4:BC$312,'Safeguard facility data'!$A$4:$A$312,$A275,'Safeguard facility data'!BC$4:BC$312,"&gt;0"))-(SUMIFS('Safeguard facility data'!BJ$4:BJ$312,'Safeguard facility data'!$A$4:$A$312,$A275,'Safeguard facility data'!BJ$4:BJ$312,"&gt;0"))</f>
        <v>0</v>
      </c>
      <c r="D275" s="67">
        <f>(SUMIFS('Safeguard facility data'!BD$4:BD$312,'Safeguard facility data'!$A$4:$A$312,$A275,'Safeguard facility data'!BD$4:BD$312,"&gt;0"))-(SUMIFS('Safeguard facility data'!BK$4:BK$312,'Safeguard facility data'!$A$4:$A$312,$A275,'Safeguard facility data'!BK$4:BK$312,"&gt;0"))</f>
        <v>0</v>
      </c>
      <c r="E275" s="67">
        <f>(SUMIFS('Safeguard facility data'!BE$4:BE$312,'Safeguard facility data'!$A$4:$A$312,$A275,'Safeguard facility data'!BE$4:BE$312,"&gt;0"))-(SUMIFS('Safeguard facility data'!BL$4:BL$312,'Safeguard facility data'!$A$4:$A$312,$A275,'Safeguard facility data'!BL$4:BL$312,"&gt;0"))</f>
        <v>0</v>
      </c>
      <c r="F275" s="67">
        <f>(SUMIFS('Safeguard facility data'!BF$4:BF$312,'Safeguard facility data'!$A$4:$A$312,$A275,'Safeguard facility data'!BF$4:BF$312,"&gt;0"))-(SUMIFS('Safeguard facility data'!BM$4:BM$312,'Safeguard facility data'!$A$4:$A$312,$A275,'Safeguard facility data'!BM$4:BM$312,"&gt;0"))</f>
        <v>213075</v>
      </c>
      <c r="G275" s="67"/>
      <c r="H275" s="67"/>
      <c r="I275" s="67"/>
      <c r="J275" s="67"/>
      <c r="K275" s="67"/>
      <c r="L275" s="67"/>
      <c r="M275" s="67"/>
      <c r="N275" s="67"/>
      <c r="O275" s="67"/>
      <c r="P275" s="67"/>
      <c r="Q275" s="67"/>
    </row>
    <row r="276" spans="1:17">
      <c r="A276" s="87" t="s">
        <v>566</v>
      </c>
      <c r="B276" s="67">
        <f>(SUMIFS('Safeguard facility data'!BB$4:BB$312,'Safeguard facility data'!$A$4:$A$312,$A276,'Safeguard facility data'!BB$4:BB$312,"&gt;0"))-(SUMIFS('Safeguard facility data'!BI$4:BI$312,'Safeguard facility data'!$A$4:$A$312,$A276,'Safeguard facility data'!BI$4:BI$312,"&gt;0"))</f>
        <v>143038</v>
      </c>
      <c r="C276" s="67">
        <f>(SUMIFS('Safeguard facility data'!BC$4:BC$312,'Safeguard facility data'!$A$4:$A$312,$A276,'Safeguard facility data'!BC$4:BC$312,"&gt;0"))-(SUMIFS('Safeguard facility data'!BJ$4:BJ$312,'Safeguard facility data'!$A$4:$A$312,$A276,'Safeguard facility data'!BJ$4:BJ$312,"&gt;0"))</f>
        <v>143038</v>
      </c>
      <c r="D276" s="67">
        <f>(SUMIFS('Safeguard facility data'!BD$4:BD$312,'Safeguard facility data'!$A$4:$A$312,$A276,'Safeguard facility data'!BD$4:BD$312,"&gt;0"))-(SUMIFS('Safeguard facility data'!BK$4:BK$312,'Safeguard facility data'!$A$4:$A$312,$A276,'Safeguard facility data'!BK$4:BK$312,"&gt;0"))</f>
        <v>143038</v>
      </c>
      <c r="E276" s="67">
        <f>(SUMIFS('Safeguard facility data'!BE$4:BE$312,'Safeguard facility data'!$A$4:$A$312,$A276,'Safeguard facility data'!BE$4:BE$312,"&gt;0"))-(SUMIFS('Safeguard facility data'!BL$4:BL$312,'Safeguard facility data'!$A$4:$A$312,$A276,'Safeguard facility data'!BL$4:BL$312,"&gt;0"))</f>
        <v>40810</v>
      </c>
      <c r="F276" s="67">
        <f>(SUMIFS('Safeguard facility data'!BF$4:BF$312,'Safeguard facility data'!$A$4:$A$312,$A276,'Safeguard facility data'!BF$4:BF$312,"&gt;0"))-(SUMIFS('Safeguard facility data'!BM$4:BM$312,'Safeguard facility data'!$A$4:$A$312,$A276,'Safeguard facility data'!BM$4:BM$312,"&gt;0"))</f>
        <v>143038</v>
      </c>
      <c r="G276" s="67"/>
      <c r="H276" s="67"/>
      <c r="I276" s="67"/>
      <c r="J276" s="67"/>
      <c r="K276" s="67"/>
      <c r="L276" s="67"/>
      <c r="M276" s="67"/>
      <c r="N276" s="67"/>
      <c r="O276" s="67"/>
      <c r="P276" s="67"/>
      <c r="Q276" s="67"/>
    </row>
    <row r="277" spans="1:17">
      <c r="A277" s="87" t="s">
        <v>567</v>
      </c>
      <c r="B277" s="67">
        <f>(SUMIFS('Safeguard facility data'!BB$4:BB$312,'Safeguard facility data'!$A$4:$A$312,$A277,'Safeguard facility data'!BB$4:BB$312,"&gt;0"))-(SUMIFS('Safeguard facility data'!BI$4:BI$312,'Safeguard facility data'!$A$4:$A$312,$A277,'Safeguard facility data'!BI$4:BI$312,"&gt;0"))</f>
        <v>98841</v>
      </c>
      <c r="C277" s="67">
        <f>(SUMIFS('Safeguard facility data'!BC$4:BC$312,'Safeguard facility data'!$A$4:$A$312,$A277,'Safeguard facility data'!BC$4:BC$312,"&gt;0"))-(SUMIFS('Safeguard facility data'!BJ$4:BJ$312,'Safeguard facility data'!$A$4:$A$312,$A277,'Safeguard facility data'!BJ$4:BJ$312,"&gt;0"))</f>
        <v>106545</v>
      </c>
      <c r="D277" s="67">
        <f>(SUMIFS('Safeguard facility data'!BD$4:BD$312,'Safeguard facility data'!$A$4:$A$312,$A277,'Safeguard facility data'!BD$4:BD$312,"&gt;0"))-(SUMIFS('Safeguard facility data'!BK$4:BK$312,'Safeguard facility data'!$A$4:$A$312,$A277,'Safeguard facility data'!BK$4:BK$312,"&gt;0"))</f>
        <v>76954</v>
      </c>
      <c r="E277" s="67">
        <f>(SUMIFS('Safeguard facility data'!BE$4:BE$312,'Safeguard facility data'!$A$4:$A$312,$A277,'Safeguard facility data'!BE$4:BE$312,"&gt;0"))-(SUMIFS('Safeguard facility data'!BL$4:BL$312,'Safeguard facility data'!$A$4:$A$312,$A277,'Safeguard facility data'!BL$4:BL$312,"&gt;0"))</f>
        <v>54422</v>
      </c>
      <c r="F277" s="67">
        <f>(SUMIFS('Safeguard facility data'!BF$4:BF$312,'Safeguard facility data'!$A$4:$A$312,$A277,'Safeguard facility data'!BF$4:BF$312,"&gt;0"))-(SUMIFS('Safeguard facility data'!BM$4:BM$312,'Safeguard facility data'!$A$4:$A$312,$A277,'Safeguard facility data'!BM$4:BM$312,"&gt;0"))</f>
        <v>128848</v>
      </c>
      <c r="G277" s="67"/>
      <c r="H277" s="67"/>
      <c r="I277" s="67"/>
      <c r="J277" s="67"/>
      <c r="K277" s="67"/>
      <c r="L277" s="67"/>
      <c r="M277" s="67"/>
      <c r="N277" s="67"/>
      <c r="O277" s="67"/>
      <c r="P277" s="67"/>
      <c r="Q277" s="67"/>
    </row>
    <row r="278" spans="1:17">
      <c r="A278" s="54" t="s">
        <v>568</v>
      </c>
      <c r="B278" s="67">
        <f>(SUMIFS('Safeguard facility data'!BB$4:BB$312,'Safeguard facility data'!$A$4:$A$312,$A278,'Safeguard facility data'!BB$4:BB$312,"&gt;0"))-(SUMIFS('Safeguard facility data'!BI$4:BI$312,'Safeguard facility data'!$A$4:$A$312,$A278,'Safeguard facility data'!BI$4:BI$312,"&gt;0"))</f>
        <v>34151</v>
      </c>
      <c r="C278" s="67">
        <f>(SUMIFS('Safeguard facility data'!BC$4:BC$312,'Safeguard facility data'!$A$4:$A$312,$A278,'Safeguard facility data'!BC$4:BC$312,"&gt;0"))-(SUMIFS('Safeguard facility data'!BJ$4:BJ$312,'Safeguard facility data'!$A$4:$A$312,$A278,'Safeguard facility data'!BJ$4:BJ$312,"&gt;0"))</f>
        <v>44801</v>
      </c>
      <c r="D278" s="67">
        <f>(SUMIFS('Safeguard facility data'!BD$4:BD$312,'Safeguard facility data'!$A$4:$A$312,$A278,'Safeguard facility data'!BD$4:BD$312,"&gt;0"))-(SUMIFS('Safeguard facility data'!BK$4:BK$312,'Safeguard facility data'!$A$4:$A$312,$A278,'Safeguard facility data'!BK$4:BK$312,"&gt;0"))</f>
        <v>31890</v>
      </c>
      <c r="E278" s="67">
        <f>(SUMIFS('Safeguard facility data'!BE$4:BE$312,'Safeguard facility data'!$A$4:$A$312,$A278,'Safeguard facility data'!BE$4:BE$312,"&gt;0"))-(SUMIFS('Safeguard facility data'!BL$4:BL$312,'Safeguard facility data'!$A$4:$A$312,$A278,'Safeguard facility data'!BL$4:BL$312,"&gt;0"))</f>
        <v>-4783</v>
      </c>
      <c r="F278" s="67">
        <f>(SUMIFS('Safeguard facility data'!BF$4:BF$312,'Safeguard facility data'!$A$4:$A$312,$A278,'Safeguard facility data'!BF$4:BF$312,"&gt;0"))-(SUMIFS('Safeguard facility data'!BM$4:BM$312,'Safeguard facility data'!$A$4:$A$312,$A278,'Safeguard facility data'!BM$4:BM$312,"&gt;0"))</f>
        <v>-32337</v>
      </c>
      <c r="G278" s="67"/>
      <c r="H278" s="67"/>
      <c r="I278" s="67"/>
      <c r="J278" s="67"/>
      <c r="K278" s="67"/>
      <c r="L278" s="67"/>
      <c r="M278" s="67"/>
      <c r="N278" s="67"/>
      <c r="O278" s="67"/>
      <c r="P278" s="67"/>
      <c r="Q278" s="67"/>
    </row>
    <row r="279" spans="1:17">
      <c r="A279" s="87" t="s">
        <v>569</v>
      </c>
      <c r="B279" s="67">
        <f>(SUMIFS('Safeguard facility data'!BB$4:BB$312,'Safeguard facility data'!$A$4:$A$312,$A279,'Safeguard facility data'!BB$4:BB$312,"&gt;0"))-(SUMIFS('Safeguard facility data'!BI$4:BI$312,'Safeguard facility data'!$A$4:$A$312,$A279,'Safeguard facility data'!BI$4:BI$312,"&gt;0"))</f>
        <v>36629</v>
      </c>
      <c r="C279" s="67">
        <f>(SUMIFS('Safeguard facility data'!BC$4:BC$312,'Safeguard facility data'!$A$4:$A$312,$A279,'Safeguard facility data'!BC$4:BC$312,"&gt;0"))-(SUMIFS('Safeguard facility data'!BJ$4:BJ$312,'Safeguard facility data'!$A$4:$A$312,$A279,'Safeguard facility data'!BJ$4:BJ$312,"&gt;0"))</f>
        <v>13567</v>
      </c>
      <c r="D279" s="67">
        <f>(SUMIFS('Safeguard facility data'!BD$4:BD$312,'Safeguard facility data'!$A$4:$A$312,$A279,'Safeguard facility data'!BD$4:BD$312,"&gt;0"))-(SUMIFS('Safeguard facility data'!BK$4:BK$312,'Safeguard facility data'!$A$4:$A$312,$A279,'Safeguard facility data'!BK$4:BK$312,"&gt;0"))</f>
        <v>96047</v>
      </c>
      <c r="E279" s="67">
        <f>(SUMIFS('Safeguard facility data'!BE$4:BE$312,'Safeguard facility data'!$A$4:$A$312,$A279,'Safeguard facility data'!BE$4:BE$312,"&gt;0"))-(SUMIFS('Safeguard facility data'!BL$4:BL$312,'Safeguard facility data'!$A$4:$A$312,$A279,'Safeguard facility data'!BL$4:BL$312,"&gt;0"))</f>
        <v>81290</v>
      </c>
      <c r="F279" s="67">
        <f>(SUMIFS('Safeguard facility data'!BF$4:BF$312,'Safeguard facility data'!$A$4:$A$312,$A279,'Safeguard facility data'!BF$4:BF$312,"&gt;0"))-(SUMIFS('Safeguard facility data'!BM$4:BM$312,'Safeguard facility data'!$A$4:$A$312,$A279,'Safeguard facility data'!BM$4:BM$312,"&gt;0"))</f>
        <v>76646</v>
      </c>
      <c r="G279" s="67"/>
      <c r="H279" s="67"/>
      <c r="I279" s="67"/>
      <c r="J279" s="67"/>
      <c r="K279" s="67"/>
      <c r="L279" s="67"/>
      <c r="M279" s="67"/>
      <c r="N279" s="67"/>
      <c r="O279" s="67"/>
      <c r="P279" s="67"/>
      <c r="Q279" s="67"/>
    </row>
    <row r="280" spans="1:17">
      <c r="A280" s="87" t="s">
        <v>570</v>
      </c>
      <c r="B280" s="67">
        <f>(SUMIFS('Safeguard facility data'!BB$4:BB$312,'Safeguard facility data'!$A$4:$A$312,$A280,'Safeguard facility data'!BB$4:BB$312,"&gt;0"))-(SUMIFS('Safeguard facility data'!BI$4:BI$312,'Safeguard facility data'!$A$4:$A$312,$A280,'Safeguard facility data'!BI$4:BI$312,"&gt;0"))</f>
        <v>43832</v>
      </c>
      <c r="C280" s="67">
        <f>(SUMIFS('Safeguard facility data'!BC$4:BC$312,'Safeguard facility data'!$A$4:$A$312,$A280,'Safeguard facility data'!BC$4:BC$312,"&gt;0"))-(SUMIFS('Safeguard facility data'!BJ$4:BJ$312,'Safeguard facility data'!$A$4:$A$312,$A280,'Safeguard facility data'!BJ$4:BJ$312,"&gt;0"))</f>
        <v>29914</v>
      </c>
      <c r="D280" s="67">
        <f>(SUMIFS('Safeguard facility data'!BD$4:BD$312,'Safeguard facility data'!$A$4:$A$312,$A280,'Safeguard facility data'!BD$4:BD$312,"&gt;0"))-(SUMIFS('Safeguard facility data'!BK$4:BK$312,'Safeguard facility data'!$A$4:$A$312,$A280,'Safeguard facility data'!BK$4:BK$312,"&gt;0"))</f>
        <v>5673</v>
      </c>
      <c r="E280" s="67">
        <f>(SUMIFS('Safeguard facility data'!BE$4:BE$312,'Safeguard facility data'!$A$4:$A$312,$A280,'Safeguard facility data'!BE$4:BE$312,"&gt;0"))-(SUMIFS('Safeguard facility data'!BL$4:BL$312,'Safeguard facility data'!$A$4:$A$312,$A280,'Safeguard facility data'!BL$4:BL$312,"&gt;0"))</f>
        <v>17051</v>
      </c>
      <c r="F280" s="67">
        <f>(SUMIFS('Safeguard facility data'!BF$4:BF$312,'Safeguard facility data'!$A$4:$A$312,$A280,'Safeguard facility data'!BF$4:BF$312,"&gt;0"))-(SUMIFS('Safeguard facility data'!BM$4:BM$312,'Safeguard facility data'!$A$4:$A$312,$A280,'Safeguard facility data'!BM$4:BM$312,"&gt;0"))</f>
        <v>28762</v>
      </c>
      <c r="G280" s="67"/>
      <c r="H280" s="67"/>
      <c r="I280" s="67"/>
      <c r="J280" s="67"/>
      <c r="K280" s="67"/>
      <c r="L280" s="67"/>
      <c r="M280" s="67"/>
      <c r="N280" s="67"/>
      <c r="O280" s="67"/>
      <c r="P280" s="67"/>
      <c r="Q280" s="67"/>
    </row>
    <row r="281" spans="1:17">
      <c r="A281" s="87" t="s">
        <v>571</v>
      </c>
      <c r="B281" s="67">
        <f>(SUMIFS('Safeguard facility data'!BB$4:BB$312,'Safeguard facility data'!$A$4:$A$312,$A281,'Safeguard facility data'!BB$4:BB$312,"&gt;0"))-(SUMIFS('Safeguard facility data'!BI$4:BI$312,'Safeguard facility data'!$A$4:$A$312,$A281,'Safeguard facility data'!BI$4:BI$312,"&gt;0"))</f>
        <v>-7639</v>
      </c>
      <c r="C281" s="67">
        <f>(SUMIFS('Safeguard facility data'!BC$4:BC$312,'Safeguard facility data'!$A$4:$A$312,$A281,'Safeguard facility data'!BC$4:BC$312,"&gt;0"))-(SUMIFS('Safeguard facility data'!BJ$4:BJ$312,'Safeguard facility data'!$A$4:$A$312,$A281,'Safeguard facility data'!BJ$4:BJ$312,"&gt;0"))</f>
        <v>-10416</v>
      </c>
      <c r="D281" s="67">
        <f>(SUMIFS('Safeguard facility data'!BD$4:BD$312,'Safeguard facility data'!$A$4:$A$312,$A281,'Safeguard facility data'!BD$4:BD$312,"&gt;0"))-(SUMIFS('Safeguard facility data'!BK$4:BK$312,'Safeguard facility data'!$A$4:$A$312,$A281,'Safeguard facility data'!BK$4:BK$312,"&gt;0"))</f>
        <v>-12572</v>
      </c>
      <c r="E281" s="67">
        <f>(SUMIFS('Safeguard facility data'!BE$4:BE$312,'Safeguard facility data'!$A$4:$A$312,$A281,'Safeguard facility data'!BE$4:BE$312,"&gt;0"))-(SUMIFS('Safeguard facility data'!BL$4:BL$312,'Safeguard facility data'!$A$4:$A$312,$A281,'Safeguard facility data'!BL$4:BL$312,"&gt;0"))</f>
        <v>7059</v>
      </c>
      <c r="F281" s="67">
        <f>(SUMIFS('Safeguard facility data'!BF$4:BF$312,'Safeguard facility data'!$A$4:$A$312,$A281,'Safeguard facility data'!BF$4:BF$312,"&gt;0"))-(SUMIFS('Safeguard facility data'!BM$4:BM$312,'Safeguard facility data'!$A$4:$A$312,$A281,'Safeguard facility data'!BM$4:BM$312,"&gt;0"))</f>
        <v>32154</v>
      </c>
      <c r="G281" s="67"/>
      <c r="H281" s="67"/>
      <c r="I281" s="67"/>
      <c r="J281" s="67"/>
      <c r="K281" s="67"/>
      <c r="L281" s="67"/>
      <c r="M281" s="67"/>
      <c r="N281" s="67"/>
      <c r="O281" s="67"/>
      <c r="P281" s="67"/>
      <c r="Q281" s="67"/>
    </row>
    <row r="282" spans="1:17">
      <c r="A282" s="87" t="s">
        <v>572</v>
      </c>
      <c r="B282" s="67">
        <f>(SUMIFS('Safeguard facility data'!BB$4:BB$312,'Safeguard facility data'!$A$4:$A$312,$A282,'Safeguard facility data'!BB$4:BB$312,"&gt;0"))-(SUMIFS('Safeguard facility data'!BI$4:BI$312,'Safeguard facility data'!$A$4:$A$312,$A282,'Safeguard facility data'!BI$4:BI$312,"&gt;0"))</f>
        <v>123668</v>
      </c>
      <c r="C282" s="67">
        <f>(SUMIFS('Safeguard facility data'!BC$4:BC$312,'Safeguard facility data'!$A$4:$A$312,$A282,'Safeguard facility data'!BC$4:BC$312,"&gt;0"))-(SUMIFS('Safeguard facility data'!BJ$4:BJ$312,'Safeguard facility data'!$A$4:$A$312,$A282,'Safeguard facility data'!BJ$4:BJ$312,"&gt;0"))</f>
        <v>123668</v>
      </c>
      <c r="D282" s="67">
        <f>(SUMIFS('Safeguard facility data'!BD$4:BD$312,'Safeguard facility data'!$A$4:$A$312,$A282,'Safeguard facility data'!BD$4:BD$312,"&gt;0"))-(SUMIFS('Safeguard facility data'!BK$4:BK$312,'Safeguard facility data'!$A$4:$A$312,$A282,'Safeguard facility data'!BK$4:BK$312,"&gt;0"))</f>
        <v>63863</v>
      </c>
      <c r="E282" s="67">
        <f>(SUMIFS('Safeguard facility data'!BE$4:BE$312,'Safeguard facility data'!$A$4:$A$312,$A282,'Safeguard facility data'!BE$4:BE$312,"&gt;0"))-(SUMIFS('Safeguard facility data'!BL$4:BL$312,'Safeguard facility data'!$A$4:$A$312,$A282,'Safeguard facility data'!BL$4:BL$312,"&gt;0"))</f>
        <v>83252</v>
      </c>
      <c r="F282" s="67">
        <f>(SUMIFS('Safeguard facility data'!BF$4:BF$312,'Safeguard facility data'!$A$4:$A$312,$A282,'Safeguard facility data'!BF$4:BF$312,"&gt;0"))-(SUMIFS('Safeguard facility data'!BM$4:BM$312,'Safeguard facility data'!$A$4:$A$312,$A282,'Safeguard facility data'!BM$4:BM$312,"&gt;0"))</f>
        <v>82514</v>
      </c>
      <c r="G282" s="67"/>
      <c r="H282" s="67"/>
      <c r="I282" s="67"/>
      <c r="J282" s="67"/>
      <c r="K282" s="67"/>
      <c r="L282" s="67"/>
      <c r="M282" s="67"/>
      <c r="N282" s="67"/>
      <c r="O282" s="67"/>
      <c r="P282" s="67"/>
      <c r="Q282" s="67"/>
    </row>
    <row r="283" spans="1:17">
      <c r="A283" s="87" t="s">
        <v>573</v>
      </c>
      <c r="B283" s="67">
        <f>(SUMIFS('Safeguard facility data'!BB$4:BB$312,'Safeguard facility data'!$A$4:$A$312,$A283,'Safeguard facility data'!BB$4:BB$312,"&gt;0"))-(SUMIFS('Safeguard facility data'!BI$4:BI$312,'Safeguard facility data'!$A$4:$A$312,$A283,'Safeguard facility data'!BI$4:BI$312,"&gt;0"))</f>
        <v>518638</v>
      </c>
      <c r="C283" s="67">
        <f>(SUMIFS('Safeguard facility data'!BC$4:BC$312,'Safeguard facility data'!$A$4:$A$312,$A283,'Safeguard facility data'!BC$4:BC$312,"&gt;0"))-(SUMIFS('Safeguard facility data'!BJ$4:BJ$312,'Safeguard facility data'!$A$4:$A$312,$A283,'Safeguard facility data'!BJ$4:BJ$312,"&gt;0"))</f>
        <v>570247</v>
      </c>
      <c r="D283" s="67">
        <f>(SUMIFS('Safeguard facility data'!BD$4:BD$312,'Safeguard facility data'!$A$4:$A$312,$A283,'Safeguard facility data'!BD$4:BD$312,"&gt;0"))-(SUMIFS('Safeguard facility data'!BK$4:BK$312,'Safeguard facility data'!$A$4:$A$312,$A283,'Safeguard facility data'!BK$4:BK$312,"&gt;0"))</f>
        <v>731007</v>
      </c>
      <c r="E283" s="67">
        <f>(SUMIFS('Safeguard facility data'!BE$4:BE$312,'Safeguard facility data'!$A$4:$A$312,$A283,'Safeguard facility data'!BE$4:BE$312,"&gt;0"))-(SUMIFS('Safeguard facility data'!BL$4:BL$312,'Safeguard facility data'!$A$4:$A$312,$A283,'Safeguard facility data'!BL$4:BL$312,"&gt;0"))</f>
        <v>731007</v>
      </c>
      <c r="F283" s="67">
        <f>(SUMIFS('Safeguard facility data'!BF$4:BF$312,'Safeguard facility data'!$A$4:$A$312,$A283,'Safeguard facility data'!BF$4:BF$312,"&gt;0"))-(SUMIFS('Safeguard facility data'!BM$4:BM$312,'Safeguard facility data'!$A$4:$A$312,$A283,'Safeguard facility data'!BM$4:BM$312,"&gt;0"))</f>
        <v>330425</v>
      </c>
      <c r="G283" s="67"/>
      <c r="H283" s="67"/>
      <c r="I283" s="67"/>
      <c r="J283" s="67"/>
      <c r="K283" s="67"/>
      <c r="L283" s="67"/>
      <c r="M283" s="67"/>
      <c r="N283" s="67"/>
      <c r="O283" s="67"/>
      <c r="P283" s="67"/>
      <c r="Q283" s="67"/>
    </row>
    <row r="284" spans="1:17">
      <c r="A284" s="87" t="s">
        <v>574</v>
      </c>
      <c r="B284" s="67">
        <f>(SUMIFS('Safeguard facility data'!BB$4:BB$312,'Safeguard facility data'!$A$4:$A$312,$A284,'Safeguard facility data'!BB$4:BB$312,"&gt;0"))-(SUMIFS('Safeguard facility data'!BI$4:BI$312,'Safeguard facility data'!$A$4:$A$312,$A284,'Safeguard facility data'!BI$4:BI$312,"&gt;0"))</f>
        <v>15510</v>
      </c>
      <c r="C284" s="67">
        <f>(SUMIFS('Safeguard facility data'!BC$4:BC$312,'Safeguard facility data'!$A$4:$A$312,$A284,'Safeguard facility data'!BC$4:BC$312,"&gt;0"))-(SUMIFS('Safeguard facility data'!BJ$4:BJ$312,'Safeguard facility data'!$A$4:$A$312,$A284,'Safeguard facility data'!BJ$4:BJ$312,"&gt;0"))</f>
        <v>7065</v>
      </c>
      <c r="D284" s="67">
        <f>(SUMIFS('Safeguard facility data'!BD$4:BD$312,'Safeguard facility data'!$A$4:$A$312,$A284,'Safeguard facility data'!BD$4:BD$312,"&gt;0"))-(SUMIFS('Safeguard facility data'!BK$4:BK$312,'Safeguard facility data'!$A$4:$A$312,$A284,'Safeguard facility data'!BK$4:BK$312,"&gt;0"))</f>
        <v>-652</v>
      </c>
      <c r="E284" s="67">
        <f>(SUMIFS('Safeguard facility data'!BE$4:BE$312,'Safeguard facility data'!$A$4:$A$312,$A284,'Safeguard facility data'!BE$4:BE$312,"&gt;0"))-(SUMIFS('Safeguard facility data'!BL$4:BL$312,'Safeguard facility data'!$A$4:$A$312,$A284,'Safeguard facility data'!BL$4:BL$312,"&gt;0"))</f>
        <v>8888</v>
      </c>
      <c r="F284" s="67">
        <f>(SUMIFS('Safeguard facility data'!BF$4:BF$312,'Safeguard facility data'!$A$4:$A$312,$A284,'Safeguard facility data'!BF$4:BF$312,"&gt;0"))-(SUMIFS('Safeguard facility data'!BM$4:BM$312,'Safeguard facility data'!$A$4:$A$312,$A284,'Safeguard facility data'!BM$4:BM$312,"&gt;0"))</f>
        <v>20362</v>
      </c>
      <c r="G284" s="67"/>
      <c r="H284" s="67"/>
      <c r="I284" s="67"/>
      <c r="J284" s="67"/>
      <c r="K284" s="67"/>
      <c r="L284" s="67"/>
      <c r="M284" s="67"/>
      <c r="N284" s="67"/>
      <c r="O284" s="67"/>
      <c r="P284" s="67"/>
      <c r="Q284" s="67"/>
    </row>
    <row r="285" spans="1:17">
      <c r="A285" s="87" t="s">
        <v>575</v>
      </c>
      <c r="B285" s="67">
        <f>(SUMIFS('Safeguard facility data'!BB$4:BB$312,'Safeguard facility data'!$A$4:$A$312,$A285,'Safeguard facility data'!BB$4:BB$312,"&gt;0"))-(SUMIFS('Safeguard facility data'!BI$4:BI$312,'Safeguard facility data'!$A$4:$A$312,$A285,'Safeguard facility data'!BI$4:BI$312,"&gt;0"))</f>
        <v>357435</v>
      </c>
      <c r="C285" s="67">
        <f>(SUMIFS('Safeguard facility data'!BC$4:BC$312,'Safeguard facility data'!$A$4:$A$312,$A285,'Safeguard facility data'!BC$4:BC$312,"&gt;0"))-(SUMIFS('Safeguard facility data'!BJ$4:BJ$312,'Safeguard facility data'!$A$4:$A$312,$A285,'Safeguard facility data'!BJ$4:BJ$312,"&gt;0"))</f>
        <v>331552</v>
      </c>
      <c r="D285" s="67">
        <f>(SUMIFS('Safeguard facility data'!BD$4:BD$312,'Safeguard facility data'!$A$4:$A$312,$A285,'Safeguard facility data'!BD$4:BD$312,"&gt;0"))-(SUMIFS('Safeguard facility data'!BK$4:BK$312,'Safeguard facility data'!$A$4:$A$312,$A285,'Safeguard facility data'!BK$4:BK$312,"&gt;0"))</f>
        <v>351413</v>
      </c>
      <c r="E285" s="67">
        <f>(SUMIFS('Safeguard facility data'!BE$4:BE$312,'Safeguard facility data'!$A$4:$A$312,$A285,'Safeguard facility data'!BE$4:BE$312,"&gt;0"))-(SUMIFS('Safeguard facility data'!BL$4:BL$312,'Safeguard facility data'!$A$4:$A$312,$A285,'Safeguard facility data'!BL$4:BL$312,"&gt;0"))</f>
        <v>372332</v>
      </c>
      <c r="F285" s="67">
        <f>(SUMIFS('Safeguard facility data'!BF$4:BF$312,'Safeguard facility data'!$A$4:$A$312,$A285,'Safeguard facility data'!BF$4:BF$312,"&gt;0"))-(SUMIFS('Safeguard facility data'!BM$4:BM$312,'Safeguard facility data'!$A$4:$A$312,$A285,'Safeguard facility data'!BM$4:BM$312,"&gt;0"))</f>
        <v>161775</v>
      </c>
      <c r="G285" s="67"/>
      <c r="H285" s="67"/>
      <c r="I285" s="67"/>
      <c r="J285" s="67"/>
      <c r="K285" s="67"/>
      <c r="L285" s="67"/>
      <c r="M285" s="67"/>
      <c r="N285" s="67"/>
      <c r="O285" s="67"/>
      <c r="P285" s="67"/>
      <c r="Q285" s="67"/>
    </row>
    <row r="286" spans="1:17">
      <c r="A286" s="87" t="s">
        <v>576</v>
      </c>
      <c r="B286" s="67">
        <f>(SUMIFS('Safeguard facility data'!BB$4:BB$312,'Safeguard facility data'!$A$4:$A$312,$A286,'Safeguard facility data'!BB$4:BB$312,"&gt;0"))-(SUMIFS('Safeguard facility data'!BI$4:BI$312,'Safeguard facility data'!$A$4:$A$312,$A286,'Safeguard facility data'!BI$4:BI$312,"&gt;0"))</f>
        <v>0</v>
      </c>
      <c r="C286" s="67">
        <f>(SUMIFS('Safeguard facility data'!BC$4:BC$312,'Safeguard facility data'!$A$4:$A$312,$A286,'Safeguard facility data'!BC$4:BC$312,"&gt;0"))-(SUMIFS('Safeguard facility data'!BJ$4:BJ$312,'Safeguard facility data'!$A$4:$A$312,$A286,'Safeguard facility data'!BJ$4:BJ$312,"&gt;0"))</f>
        <v>0</v>
      </c>
      <c r="D286" s="67">
        <f>(SUMIFS('Safeguard facility data'!BD$4:BD$312,'Safeguard facility data'!$A$4:$A$312,$A286,'Safeguard facility data'!BD$4:BD$312,"&gt;0"))-(SUMIFS('Safeguard facility data'!BK$4:BK$312,'Safeguard facility data'!$A$4:$A$312,$A286,'Safeguard facility data'!BK$4:BK$312,"&gt;0"))</f>
        <v>0</v>
      </c>
      <c r="E286" s="67">
        <f>(SUMIFS('Safeguard facility data'!BE$4:BE$312,'Safeguard facility data'!$A$4:$A$312,$A286,'Safeguard facility data'!BE$4:BE$312,"&gt;0"))-(SUMIFS('Safeguard facility data'!BL$4:BL$312,'Safeguard facility data'!$A$4:$A$312,$A286,'Safeguard facility data'!BL$4:BL$312,"&gt;0"))</f>
        <v>-14387</v>
      </c>
      <c r="F286" s="67">
        <f>(SUMIFS('Safeguard facility data'!BF$4:BF$312,'Safeguard facility data'!$A$4:$A$312,$A286,'Safeguard facility data'!BF$4:BF$312,"&gt;0"))-(SUMIFS('Safeguard facility data'!BM$4:BM$312,'Safeguard facility data'!$A$4:$A$312,$A286,'Safeguard facility data'!BM$4:BM$312,"&gt;0"))</f>
        <v>52875</v>
      </c>
      <c r="G286" s="67"/>
      <c r="H286" s="67"/>
      <c r="I286" s="67"/>
      <c r="J286" s="67"/>
      <c r="K286" s="67"/>
      <c r="L286" s="67"/>
      <c r="M286" s="67"/>
      <c r="N286" s="67"/>
      <c r="O286" s="67"/>
      <c r="P286" s="67"/>
      <c r="Q286" s="67"/>
    </row>
    <row r="287" spans="1:17">
      <c r="A287" s="87" t="s">
        <v>577</v>
      </c>
      <c r="B287" s="67">
        <f>(SUMIFS('Safeguard facility data'!BB$4:BB$312,'Safeguard facility data'!$A$4:$A$312,$A287,'Safeguard facility data'!BB$4:BB$312,"&gt;0"))-(SUMIFS('Safeguard facility data'!BI$4:BI$312,'Safeguard facility data'!$A$4:$A$312,$A287,'Safeguard facility data'!BI$4:BI$312,"&gt;0"))</f>
        <v>100981</v>
      </c>
      <c r="C287" s="67">
        <f>(SUMIFS('Safeguard facility data'!BC$4:BC$312,'Safeguard facility data'!$A$4:$A$312,$A287,'Safeguard facility data'!BC$4:BC$312,"&gt;0"))-(SUMIFS('Safeguard facility data'!BJ$4:BJ$312,'Safeguard facility data'!$A$4:$A$312,$A287,'Safeguard facility data'!BJ$4:BJ$312,"&gt;0"))</f>
        <v>100981</v>
      </c>
      <c r="D287" s="67">
        <f>(SUMIFS('Safeguard facility data'!BD$4:BD$312,'Safeguard facility data'!$A$4:$A$312,$A287,'Safeguard facility data'!BD$4:BD$312,"&gt;0"))-(SUMIFS('Safeguard facility data'!BK$4:BK$312,'Safeguard facility data'!$A$4:$A$312,$A287,'Safeguard facility data'!BK$4:BK$312,"&gt;0"))</f>
        <v>100981</v>
      </c>
      <c r="E287" s="67">
        <f>(SUMIFS('Safeguard facility data'!BE$4:BE$312,'Safeguard facility data'!$A$4:$A$312,$A287,'Safeguard facility data'!BE$4:BE$312,"&gt;0"))-(SUMIFS('Safeguard facility data'!BL$4:BL$312,'Safeguard facility data'!$A$4:$A$312,$A287,'Safeguard facility data'!BL$4:BL$312,"&gt;0"))</f>
        <v>100981</v>
      </c>
      <c r="F287" s="67">
        <f>(SUMIFS('Safeguard facility data'!BF$4:BF$312,'Safeguard facility data'!$A$4:$A$312,$A287,'Safeguard facility data'!BF$4:BF$312,"&gt;0"))-(SUMIFS('Safeguard facility data'!BM$4:BM$312,'Safeguard facility data'!$A$4:$A$312,$A287,'Safeguard facility data'!BM$4:BM$312,"&gt;0"))</f>
        <v>100981</v>
      </c>
      <c r="G287" s="67"/>
      <c r="H287" s="67"/>
      <c r="I287" s="67"/>
      <c r="J287" s="67"/>
      <c r="K287" s="67"/>
      <c r="L287" s="67"/>
      <c r="M287" s="67"/>
      <c r="N287" s="67"/>
      <c r="O287" s="67"/>
      <c r="P287" s="67"/>
      <c r="Q287" s="67"/>
    </row>
    <row r="288" spans="1:17">
      <c r="A288" s="87" t="s">
        <v>578</v>
      </c>
      <c r="B288" s="67">
        <f>(SUMIFS('Safeguard facility data'!BB$4:BB$312,'Safeguard facility data'!$A$4:$A$312,$A288,'Safeguard facility data'!BB$4:BB$312,"&gt;0"))-(SUMIFS('Safeguard facility data'!BI$4:BI$312,'Safeguard facility data'!$A$4:$A$312,$A288,'Safeguard facility data'!BI$4:BI$312,"&gt;0"))</f>
        <v>301779</v>
      </c>
      <c r="C288" s="67">
        <f>(SUMIFS('Safeguard facility data'!BC$4:BC$312,'Safeguard facility data'!$A$4:$A$312,$A288,'Safeguard facility data'!BC$4:BC$312,"&gt;0"))-(SUMIFS('Safeguard facility data'!BJ$4:BJ$312,'Safeguard facility data'!$A$4:$A$312,$A288,'Safeguard facility data'!BJ$4:BJ$312,"&gt;0"))</f>
        <v>406132</v>
      </c>
      <c r="D288" s="67">
        <f>(SUMIFS('Safeguard facility data'!BD$4:BD$312,'Safeguard facility data'!$A$4:$A$312,$A288,'Safeguard facility data'!BD$4:BD$312,"&gt;0"))-(SUMIFS('Safeguard facility data'!BK$4:BK$312,'Safeguard facility data'!$A$4:$A$312,$A288,'Safeguard facility data'!BK$4:BK$312,"&gt;0"))</f>
        <v>598755</v>
      </c>
      <c r="E288" s="67">
        <f>(SUMIFS('Safeguard facility data'!BE$4:BE$312,'Safeguard facility data'!$A$4:$A$312,$A288,'Safeguard facility data'!BE$4:BE$312,"&gt;0"))-(SUMIFS('Safeguard facility data'!BL$4:BL$312,'Safeguard facility data'!$A$4:$A$312,$A288,'Safeguard facility data'!BL$4:BL$312,"&gt;0"))</f>
        <v>145503</v>
      </c>
      <c r="F288" s="67">
        <f>(SUMIFS('Safeguard facility data'!BF$4:BF$312,'Safeguard facility data'!$A$4:$A$312,$A288,'Safeguard facility data'!BF$4:BF$312,"&gt;0"))-(SUMIFS('Safeguard facility data'!BM$4:BM$312,'Safeguard facility data'!$A$4:$A$312,$A288,'Safeguard facility data'!BM$4:BM$312,"&gt;0"))</f>
        <v>-39088</v>
      </c>
      <c r="G288" s="67"/>
      <c r="H288" s="67"/>
      <c r="I288" s="67"/>
      <c r="J288" s="67"/>
      <c r="K288" s="67"/>
      <c r="L288" s="67"/>
      <c r="M288" s="67"/>
      <c r="N288" s="67"/>
      <c r="O288" s="67"/>
      <c r="P288" s="67"/>
      <c r="Q288" s="67"/>
    </row>
    <row r="289" spans="1:17">
      <c r="A289" s="87" t="s">
        <v>579</v>
      </c>
      <c r="B289" s="67">
        <f>(SUMIFS('Safeguard facility data'!BB$4:BB$312,'Safeguard facility data'!$A$4:$A$312,$A289,'Safeguard facility data'!BB$4:BB$312,"&gt;0"))-(SUMIFS('Safeguard facility data'!BI$4:BI$312,'Safeguard facility data'!$A$4:$A$312,$A289,'Safeguard facility data'!BI$4:BI$312,"&gt;0"))</f>
        <v>132428</v>
      </c>
      <c r="C289" s="67">
        <f>(SUMIFS('Safeguard facility data'!BC$4:BC$312,'Safeguard facility data'!$A$4:$A$312,$A289,'Safeguard facility data'!BC$4:BC$312,"&gt;0"))-(SUMIFS('Safeguard facility data'!BJ$4:BJ$312,'Safeguard facility data'!$A$4:$A$312,$A289,'Safeguard facility data'!BJ$4:BJ$312,"&gt;0"))</f>
        <v>125959</v>
      </c>
      <c r="D289" s="67">
        <f>(SUMIFS('Safeguard facility data'!BD$4:BD$312,'Safeguard facility data'!$A$4:$A$312,$A289,'Safeguard facility data'!BD$4:BD$312,"&gt;0"))-(SUMIFS('Safeguard facility data'!BK$4:BK$312,'Safeguard facility data'!$A$4:$A$312,$A289,'Safeguard facility data'!BK$4:BK$312,"&gt;0"))</f>
        <v>223303</v>
      </c>
      <c r="E289" s="67">
        <f>(SUMIFS('Safeguard facility data'!BE$4:BE$312,'Safeguard facility data'!$A$4:$A$312,$A289,'Safeguard facility data'!BE$4:BE$312,"&gt;0"))-(SUMIFS('Safeguard facility data'!BL$4:BL$312,'Safeguard facility data'!$A$4:$A$312,$A289,'Safeguard facility data'!BL$4:BL$312,"&gt;0"))</f>
        <v>902027</v>
      </c>
      <c r="F289" s="67">
        <f>(SUMIFS('Safeguard facility data'!BF$4:BF$312,'Safeguard facility data'!$A$4:$A$312,$A289,'Safeguard facility data'!BF$4:BF$312,"&gt;0"))-(SUMIFS('Safeguard facility data'!BM$4:BM$312,'Safeguard facility data'!$A$4:$A$312,$A289,'Safeguard facility data'!BM$4:BM$312,"&gt;0"))</f>
        <v>1552232</v>
      </c>
      <c r="G289" s="67"/>
      <c r="H289" s="67"/>
      <c r="I289" s="67"/>
      <c r="J289" s="67"/>
      <c r="K289" s="67"/>
      <c r="L289" s="67"/>
      <c r="M289" s="67"/>
      <c r="N289" s="67"/>
      <c r="O289" s="67"/>
      <c r="P289" s="67"/>
      <c r="Q289" s="67"/>
    </row>
    <row r="290" spans="1:17">
      <c r="A290" s="87" t="s">
        <v>580</v>
      </c>
      <c r="B290" s="67">
        <f>(SUMIFS('Safeguard facility data'!BB$4:BB$312,'Safeguard facility data'!$A$4:$A$312,$A290,'Safeguard facility data'!BB$4:BB$312,"&gt;0"))-(SUMIFS('Safeguard facility data'!BI$4:BI$312,'Safeguard facility data'!$A$4:$A$312,$A290,'Safeguard facility data'!BI$4:BI$312,"&gt;0"))</f>
        <v>107134</v>
      </c>
      <c r="C290" s="67">
        <f>(SUMIFS('Safeguard facility data'!BC$4:BC$312,'Safeguard facility data'!$A$4:$A$312,$A290,'Safeguard facility data'!BC$4:BC$312,"&gt;0"))-(SUMIFS('Safeguard facility data'!BJ$4:BJ$312,'Safeguard facility data'!$A$4:$A$312,$A290,'Safeguard facility data'!BJ$4:BJ$312,"&gt;0"))</f>
        <v>107134</v>
      </c>
      <c r="D290" s="67">
        <f>(SUMIFS('Safeguard facility data'!BD$4:BD$312,'Safeguard facility data'!$A$4:$A$312,$A290,'Safeguard facility data'!BD$4:BD$312,"&gt;0"))-(SUMIFS('Safeguard facility data'!BK$4:BK$312,'Safeguard facility data'!$A$4:$A$312,$A290,'Safeguard facility data'!BK$4:BK$312,"&gt;0"))</f>
        <v>107134</v>
      </c>
      <c r="E290" s="67">
        <f>(SUMIFS('Safeguard facility data'!BE$4:BE$312,'Safeguard facility data'!$A$4:$A$312,$A290,'Safeguard facility data'!BE$4:BE$312,"&gt;0"))-(SUMIFS('Safeguard facility data'!BL$4:BL$312,'Safeguard facility data'!$A$4:$A$312,$A290,'Safeguard facility data'!BL$4:BL$312,"&gt;0"))</f>
        <v>107134</v>
      </c>
      <c r="F290" s="67">
        <f>(SUMIFS('Safeguard facility data'!BF$4:BF$312,'Safeguard facility data'!$A$4:$A$312,$A290,'Safeguard facility data'!BF$4:BF$312,"&gt;0"))-(SUMIFS('Safeguard facility data'!BM$4:BM$312,'Safeguard facility data'!$A$4:$A$312,$A290,'Safeguard facility data'!BM$4:BM$312,"&gt;0"))</f>
        <v>107134</v>
      </c>
      <c r="G290" s="67"/>
      <c r="H290" s="67"/>
      <c r="I290" s="67"/>
      <c r="J290" s="67"/>
      <c r="K290" s="67"/>
      <c r="L290" s="67"/>
      <c r="M290" s="67"/>
      <c r="N290" s="67"/>
      <c r="O290" s="67"/>
      <c r="P290" s="67"/>
      <c r="Q290" s="67"/>
    </row>
    <row r="291" spans="1:17">
      <c r="A291" s="87" t="s">
        <v>581</v>
      </c>
      <c r="B291" s="67">
        <f>(SUMIFS('Safeguard facility data'!BB$4:BB$312,'Safeguard facility data'!$A$4:$A$312,$A291,'Safeguard facility data'!BB$4:BB$312,"&gt;0"))-(SUMIFS('Safeguard facility data'!BI$4:BI$312,'Safeguard facility data'!$A$4:$A$312,$A291,'Safeguard facility data'!BI$4:BI$312,"&gt;0"))</f>
        <v>152278</v>
      </c>
      <c r="C291" s="67">
        <f>(SUMIFS('Safeguard facility data'!BC$4:BC$312,'Safeguard facility data'!$A$4:$A$312,$A291,'Safeguard facility data'!BC$4:BC$312,"&gt;0"))-(SUMIFS('Safeguard facility data'!BJ$4:BJ$312,'Safeguard facility data'!$A$4:$A$312,$A291,'Safeguard facility data'!BJ$4:BJ$312,"&gt;0"))</f>
        <v>152278</v>
      </c>
      <c r="D291" s="67">
        <f>(SUMIFS('Safeguard facility data'!BD$4:BD$312,'Safeguard facility data'!$A$4:$A$312,$A291,'Safeguard facility data'!BD$4:BD$312,"&gt;0"))-(SUMIFS('Safeguard facility data'!BK$4:BK$312,'Safeguard facility data'!$A$4:$A$312,$A291,'Safeguard facility data'!BK$4:BK$312,"&gt;0"))</f>
        <v>152278</v>
      </c>
      <c r="E291" s="67">
        <f>(SUMIFS('Safeguard facility data'!BE$4:BE$312,'Safeguard facility data'!$A$4:$A$312,$A291,'Safeguard facility data'!BE$4:BE$312,"&gt;0"))-(SUMIFS('Safeguard facility data'!BL$4:BL$312,'Safeguard facility data'!$A$4:$A$312,$A291,'Safeguard facility data'!BL$4:BL$312,"&gt;0"))</f>
        <v>152278</v>
      </c>
      <c r="F291" s="67">
        <f>(SUMIFS('Safeguard facility data'!BF$4:BF$312,'Safeguard facility data'!$A$4:$A$312,$A291,'Safeguard facility data'!BF$4:BF$312,"&gt;0"))-(SUMIFS('Safeguard facility data'!BM$4:BM$312,'Safeguard facility data'!$A$4:$A$312,$A291,'Safeguard facility data'!BM$4:BM$312,"&gt;0"))</f>
        <v>152278</v>
      </c>
      <c r="G291" s="67"/>
      <c r="H291" s="67"/>
      <c r="I291" s="67"/>
      <c r="J291" s="67"/>
      <c r="K291" s="67"/>
      <c r="L291" s="67"/>
      <c r="M291" s="67"/>
      <c r="N291" s="67"/>
      <c r="O291" s="67"/>
      <c r="P291" s="67"/>
      <c r="Q291" s="67"/>
    </row>
    <row r="292" spans="1:17">
      <c r="A292" s="87" t="s">
        <v>582</v>
      </c>
      <c r="B292" s="67">
        <f>(SUMIFS('Safeguard facility data'!BB$4:BB$312,'Safeguard facility data'!$A$4:$A$312,$A292,'Safeguard facility data'!BB$4:BB$312,"&gt;0"))-(SUMIFS('Safeguard facility data'!BI$4:BI$312,'Safeguard facility data'!$A$4:$A$312,$A292,'Safeguard facility data'!BI$4:BI$312,"&gt;0"))</f>
        <v>47938</v>
      </c>
      <c r="C292" s="67">
        <f>(SUMIFS('Safeguard facility data'!BC$4:BC$312,'Safeguard facility data'!$A$4:$A$312,$A292,'Safeguard facility data'!BC$4:BC$312,"&gt;0"))-(SUMIFS('Safeguard facility data'!BJ$4:BJ$312,'Safeguard facility data'!$A$4:$A$312,$A292,'Safeguard facility data'!BJ$4:BJ$312,"&gt;0"))</f>
        <v>33403</v>
      </c>
      <c r="D292" s="67">
        <f>(SUMIFS('Safeguard facility data'!BD$4:BD$312,'Safeguard facility data'!$A$4:$A$312,$A292,'Safeguard facility data'!BD$4:BD$312,"&gt;0"))-(SUMIFS('Safeguard facility data'!BK$4:BK$312,'Safeguard facility data'!$A$4:$A$312,$A292,'Safeguard facility data'!BK$4:BK$312,"&gt;0"))</f>
        <v>101553</v>
      </c>
      <c r="E292" s="67">
        <f>(SUMIFS('Safeguard facility data'!BE$4:BE$312,'Safeguard facility data'!$A$4:$A$312,$A292,'Safeguard facility data'!BE$4:BE$312,"&gt;0"))-(SUMIFS('Safeguard facility data'!BL$4:BL$312,'Safeguard facility data'!$A$4:$A$312,$A292,'Safeguard facility data'!BL$4:BL$312,"&gt;0"))</f>
        <v>10178</v>
      </c>
      <c r="F292" s="67">
        <f>(SUMIFS('Safeguard facility data'!BF$4:BF$312,'Safeguard facility data'!$A$4:$A$312,$A292,'Safeguard facility data'!BF$4:BF$312,"&gt;0"))-(SUMIFS('Safeguard facility data'!BM$4:BM$312,'Safeguard facility data'!$A$4:$A$312,$A292,'Safeguard facility data'!BM$4:BM$312,"&gt;0"))</f>
        <v>478656</v>
      </c>
      <c r="G292" s="67"/>
      <c r="H292" s="67"/>
      <c r="I292" s="67"/>
      <c r="J292" s="67"/>
      <c r="K292" s="67"/>
      <c r="L292" s="67"/>
      <c r="M292" s="67"/>
      <c r="N292" s="67"/>
      <c r="O292" s="67"/>
      <c r="P292" s="67"/>
      <c r="Q292" s="67"/>
    </row>
    <row r="293" spans="1:17">
      <c r="A293" s="87" t="s">
        <v>583</v>
      </c>
      <c r="B293" s="67">
        <f>(SUMIFS('Safeguard facility data'!BB$4:BB$312,'Safeguard facility data'!$A$4:$A$312,$A293,'Safeguard facility data'!BB$4:BB$312,"&gt;0"))-(SUMIFS('Safeguard facility data'!BI$4:BI$312,'Safeguard facility data'!$A$4:$A$312,$A293,'Safeguard facility data'!BI$4:BI$312,"&gt;0"))</f>
        <v>231344</v>
      </c>
      <c r="C293" s="67">
        <f>(SUMIFS('Safeguard facility data'!BC$4:BC$312,'Safeguard facility data'!$A$4:$A$312,$A293,'Safeguard facility data'!BC$4:BC$312,"&gt;0"))-(SUMIFS('Safeguard facility data'!BJ$4:BJ$312,'Safeguard facility data'!$A$4:$A$312,$A293,'Safeguard facility data'!BJ$4:BJ$312,"&gt;0"))</f>
        <v>231298</v>
      </c>
      <c r="D293" s="67">
        <f>(SUMIFS('Safeguard facility data'!BD$4:BD$312,'Safeguard facility data'!$A$4:$A$312,$A293,'Safeguard facility data'!BD$4:BD$312,"&gt;0"))-(SUMIFS('Safeguard facility data'!BK$4:BK$312,'Safeguard facility data'!$A$4:$A$312,$A293,'Safeguard facility data'!BK$4:BK$312,"&gt;0"))</f>
        <v>435123</v>
      </c>
      <c r="E293" s="67">
        <f>(SUMIFS('Safeguard facility data'!BE$4:BE$312,'Safeguard facility data'!$A$4:$A$312,$A293,'Safeguard facility data'!BE$4:BE$312,"&gt;0"))-(SUMIFS('Safeguard facility data'!BL$4:BL$312,'Safeguard facility data'!$A$4:$A$312,$A293,'Safeguard facility data'!BL$4:BL$312,"&gt;0"))</f>
        <v>569610</v>
      </c>
      <c r="F293" s="67">
        <f>(SUMIFS('Safeguard facility data'!BF$4:BF$312,'Safeguard facility data'!$A$4:$A$312,$A293,'Safeguard facility data'!BF$4:BF$312,"&gt;0"))-(SUMIFS('Safeguard facility data'!BM$4:BM$312,'Safeguard facility data'!$A$4:$A$312,$A293,'Safeguard facility data'!BM$4:BM$312,"&gt;0"))</f>
        <v>-83649</v>
      </c>
      <c r="G293" s="67"/>
      <c r="H293" s="67"/>
      <c r="I293" s="67"/>
      <c r="J293" s="67"/>
      <c r="K293" s="67"/>
      <c r="L293" s="67"/>
      <c r="M293" s="67"/>
      <c r="N293" s="67"/>
      <c r="O293" s="67"/>
      <c r="P293" s="67"/>
      <c r="Q293" s="67"/>
    </row>
    <row r="294" spans="1:17">
      <c r="A294" s="87" t="s">
        <v>584</v>
      </c>
      <c r="B294" s="67">
        <f>(SUMIFS('Safeguard facility data'!BB$4:BB$312,'Safeguard facility data'!$A$4:$A$312,$A294,'Safeguard facility data'!BB$4:BB$312,"&gt;0"))-(SUMIFS('Safeguard facility data'!BI$4:BI$312,'Safeguard facility data'!$A$4:$A$312,$A294,'Safeguard facility data'!BI$4:BI$312,"&gt;0"))</f>
        <v>324590</v>
      </c>
      <c r="C294" s="67">
        <f>(SUMIFS('Safeguard facility data'!BC$4:BC$312,'Safeguard facility data'!$A$4:$A$312,$A294,'Safeguard facility data'!BC$4:BC$312,"&gt;0"))-(SUMIFS('Safeguard facility data'!BJ$4:BJ$312,'Safeguard facility data'!$A$4:$A$312,$A294,'Safeguard facility data'!BJ$4:BJ$312,"&gt;0"))</f>
        <v>229194</v>
      </c>
      <c r="D294" s="67">
        <f>(SUMIFS('Safeguard facility data'!BD$4:BD$312,'Safeguard facility data'!$A$4:$A$312,$A294,'Safeguard facility data'!BD$4:BD$312,"&gt;0"))-(SUMIFS('Safeguard facility data'!BK$4:BK$312,'Safeguard facility data'!$A$4:$A$312,$A294,'Safeguard facility data'!BK$4:BK$312,"&gt;0"))</f>
        <v>88854</v>
      </c>
      <c r="E294" s="67">
        <f>(SUMIFS('Safeguard facility data'!BE$4:BE$312,'Safeguard facility data'!$A$4:$A$312,$A294,'Safeguard facility data'!BE$4:BE$312,"&gt;0"))-(SUMIFS('Safeguard facility data'!BL$4:BL$312,'Safeguard facility data'!$A$4:$A$312,$A294,'Safeguard facility data'!BL$4:BL$312,"&gt;0"))</f>
        <v>21680</v>
      </c>
      <c r="F294" s="67">
        <f>(SUMIFS('Safeguard facility data'!BF$4:BF$312,'Safeguard facility data'!$A$4:$A$312,$A294,'Safeguard facility data'!BF$4:BF$312,"&gt;0"))-(SUMIFS('Safeguard facility data'!BM$4:BM$312,'Safeguard facility data'!$A$4:$A$312,$A294,'Safeguard facility data'!BM$4:BM$312,"&gt;0"))</f>
        <v>239544</v>
      </c>
      <c r="G294" s="67"/>
      <c r="H294" s="67"/>
      <c r="I294" s="67"/>
      <c r="J294" s="67"/>
      <c r="K294" s="67"/>
      <c r="L294" s="67"/>
      <c r="M294" s="67"/>
      <c r="N294" s="67"/>
      <c r="O294" s="67"/>
      <c r="P294" s="67"/>
      <c r="Q294" s="67"/>
    </row>
    <row r="295" spans="1:17">
      <c r="A295" s="87" t="s">
        <v>585</v>
      </c>
      <c r="B295" s="67">
        <f>(SUMIFS('Safeguard facility data'!BB$4:BB$312,'Safeguard facility data'!$A$4:$A$312,$A295,'Safeguard facility data'!BB$4:BB$312,"&gt;0"))-(SUMIFS('Safeguard facility data'!BI$4:BI$312,'Safeguard facility data'!$A$4:$A$312,$A295,'Safeguard facility data'!BI$4:BI$312,"&gt;0"))</f>
        <v>130642</v>
      </c>
      <c r="C295" s="67">
        <f>(SUMIFS('Safeguard facility data'!BC$4:BC$312,'Safeguard facility data'!$A$4:$A$312,$A295,'Safeguard facility data'!BC$4:BC$312,"&gt;0"))-(SUMIFS('Safeguard facility data'!BJ$4:BJ$312,'Safeguard facility data'!$A$4:$A$312,$A295,'Safeguard facility data'!BJ$4:BJ$312,"&gt;0"))</f>
        <v>130642</v>
      </c>
      <c r="D295" s="67">
        <f>(SUMIFS('Safeguard facility data'!BD$4:BD$312,'Safeguard facility data'!$A$4:$A$312,$A295,'Safeguard facility data'!BD$4:BD$312,"&gt;0"))-(SUMIFS('Safeguard facility data'!BK$4:BK$312,'Safeguard facility data'!$A$4:$A$312,$A295,'Safeguard facility data'!BK$4:BK$312,"&gt;0"))</f>
        <v>130642</v>
      </c>
      <c r="E295" s="67">
        <f>(SUMIFS('Safeguard facility data'!BE$4:BE$312,'Safeguard facility data'!$A$4:$A$312,$A295,'Safeguard facility data'!BE$4:BE$312,"&gt;0"))-(SUMIFS('Safeguard facility data'!BL$4:BL$312,'Safeguard facility data'!$A$4:$A$312,$A295,'Safeguard facility data'!BL$4:BL$312,"&gt;0"))</f>
        <v>130642</v>
      </c>
      <c r="F295" s="67">
        <f>(SUMIFS('Safeguard facility data'!BF$4:BF$312,'Safeguard facility data'!$A$4:$A$312,$A295,'Safeguard facility data'!BF$4:BF$312,"&gt;0"))-(SUMIFS('Safeguard facility data'!BM$4:BM$312,'Safeguard facility data'!$A$4:$A$312,$A295,'Safeguard facility data'!BM$4:BM$312,"&gt;0"))</f>
        <v>130642</v>
      </c>
      <c r="G295" s="67"/>
      <c r="H295" s="67"/>
      <c r="I295" s="67"/>
      <c r="J295" s="67"/>
      <c r="K295" s="67"/>
      <c r="L295" s="67"/>
      <c r="M295" s="67"/>
      <c r="N295" s="67"/>
      <c r="O295" s="67"/>
      <c r="P295" s="67"/>
      <c r="Q295" s="67"/>
    </row>
    <row r="296" spans="1:17">
      <c r="A296" s="87" t="s">
        <v>586</v>
      </c>
      <c r="B296" s="67">
        <f>(SUMIFS('Safeguard facility data'!BB$4:BB$312,'Safeguard facility data'!$A$4:$A$312,$A296,'Safeguard facility data'!BB$4:BB$312,"&gt;0"))-(SUMIFS('Safeguard facility data'!BI$4:BI$312,'Safeguard facility data'!$A$4:$A$312,$A296,'Safeguard facility data'!BI$4:BI$312,"&gt;0"))</f>
        <v>7337</v>
      </c>
      <c r="C296" s="67">
        <f>(SUMIFS('Safeguard facility data'!BC$4:BC$312,'Safeguard facility data'!$A$4:$A$312,$A296,'Safeguard facility data'!BC$4:BC$312,"&gt;0"))-(SUMIFS('Safeguard facility data'!BJ$4:BJ$312,'Safeguard facility data'!$A$4:$A$312,$A296,'Safeguard facility data'!BJ$4:BJ$312,"&gt;0"))</f>
        <v>23163</v>
      </c>
      <c r="D296" s="67">
        <f>(SUMIFS('Safeguard facility data'!BD$4:BD$312,'Safeguard facility data'!$A$4:$A$312,$A296,'Safeguard facility data'!BD$4:BD$312,"&gt;0"))-(SUMIFS('Safeguard facility data'!BK$4:BK$312,'Safeguard facility data'!$A$4:$A$312,$A296,'Safeguard facility data'!BK$4:BK$312,"&gt;0"))</f>
        <v>-1298</v>
      </c>
      <c r="E296" s="67">
        <f>(SUMIFS('Safeguard facility data'!BE$4:BE$312,'Safeguard facility data'!$A$4:$A$312,$A296,'Safeguard facility data'!BE$4:BE$312,"&gt;0"))-(SUMIFS('Safeguard facility data'!BL$4:BL$312,'Safeguard facility data'!$A$4:$A$312,$A296,'Safeguard facility data'!BL$4:BL$312,"&gt;0"))</f>
        <v>-33265</v>
      </c>
      <c r="F296" s="67">
        <f>(SUMIFS('Safeguard facility data'!BF$4:BF$312,'Safeguard facility data'!$A$4:$A$312,$A296,'Safeguard facility data'!BF$4:BF$312,"&gt;0"))-(SUMIFS('Safeguard facility data'!BM$4:BM$312,'Safeguard facility data'!$A$4:$A$312,$A296,'Safeguard facility data'!BM$4:BM$312,"&gt;0"))</f>
        <v>44314</v>
      </c>
      <c r="G296" s="67"/>
      <c r="H296" s="67"/>
      <c r="I296" s="67"/>
      <c r="J296" s="67"/>
      <c r="K296" s="67"/>
      <c r="L296" s="67"/>
      <c r="M296" s="67"/>
      <c r="N296" s="67"/>
      <c r="O296" s="67"/>
      <c r="P296" s="67"/>
      <c r="Q296" s="67"/>
    </row>
    <row r="297" spans="1:17">
      <c r="A297" s="87" t="s">
        <v>587</v>
      </c>
      <c r="B297" s="67">
        <f>(SUMIFS('Safeguard facility data'!BB$4:BB$312,'Safeguard facility data'!$A$4:$A$312,$A297,'Safeguard facility data'!BB$4:BB$312,"&gt;0"))-(SUMIFS('Safeguard facility data'!BI$4:BI$312,'Safeguard facility data'!$A$4:$A$312,$A297,'Safeguard facility data'!BI$4:BI$312,"&gt;0"))</f>
        <v>314828</v>
      </c>
      <c r="C297" s="67">
        <f>(SUMIFS('Safeguard facility data'!BC$4:BC$312,'Safeguard facility data'!$A$4:$A$312,$A297,'Safeguard facility data'!BC$4:BC$312,"&gt;0"))-(SUMIFS('Safeguard facility data'!BJ$4:BJ$312,'Safeguard facility data'!$A$4:$A$312,$A297,'Safeguard facility data'!BJ$4:BJ$312,"&gt;0"))</f>
        <v>314828</v>
      </c>
      <c r="D297" s="67">
        <f>(SUMIFS('Safeguard facility data'!BD$4:BD$312,'Safeguard facility data'!$A$4:$A$312,$A297,'Safeguard facility data'!BD$4:BD$312,"&gt;0"))-(SUMIFS('Safeguard facility data'!BK$4:BK$312,'Safeguard facility data'!$A$4:$A$312,$A297,'Safeguard facility data'!BK$4:BK$312,"&gt;0"))</f>
        <v>314828</v>
      </c>
      <c r="E297" s="67">
        <f>(SUMIFS('Safeguard facility data'!BE$4:BE$312,'Safeguard facility data'!$A$4:$A$312,$A297,'Safeguard facility data'!BE$4:BE$312,"&gt;0"))-(SUMIFS('Safeguard facility data'!BL$4:BL$312,'Safeguard facility data'!$A$4:$A$312,$A297,'Safeguard facility data'!BL$4:BL$312,"&gt;0"))</f>
        <v>314828</v>
      </c>
      <c r="F297" s="67">
        <f>(SUMIFS('Safeguard facility data'!BF$4:BF$312,'Safeguard facility data'!$A$4:$A$312,$A297,'Safeguard facility data'!BF$4:BF$312,"&gt;0"))-(SUMIFS('Safeguard facility data'!BM$4:BM$312,'Safeguard facility data'!$A$4:$A$312,$A297,'Safeguard facility data'!BM$4:BM$312,"&gt;0"))</f>
        <v>314828</v>
      </c>
      <c r="G297" s="67"/>
      <c r="H297" s="67"/>
      <c r="I297" s="67"/>
      <c r="J297" s="67"/>
      <c r="K297" s="67"/>
      <c r="L297" s="67"/>
      <c r="M297" s="67"/>
      <c r="N297" s="67"/>
      <c r="O297" s="67"/>
      <c r="P297" s="67"/>
      <c r="Q297" s="67"/>
    </row>
    <row r="298" spans="1:17">
      <c r="A298" s="54" t="s">
        <v>588</v>
      </c>
      <c r="B298" s="67">
        <f>(SUMIFS('Safeguard facility data'!BB$4:BB$312,'Safeguard facility data'!$A$4:$A$312,$A298,'Safeguard facility data'!BB$4:BB$312,"&gt;0"))-(SUMIFS('Safeguard facility data'!BI$4:BI$312,'Safeguard facility data'!$A$4:$A$312,$A298,'Safeguard facility data'!BI$4:BI$312,"&gt;0"))</f>
        <v>0</v>
      </c>
      <c r="C298" s="67">
        <f>(SUMIFS('Safeguard facility data'!BC$4:BC$312,'Safeguard facility data'!$A$4:$A$312,$A298,'Safeguard facility data'!BC$4:BC$312,"&gt;0"))-(SUMIFS('Safeguard facility data'!BJ$4:BJ$312,'Safeguard facility data'!$A$4:$A$312,$A298,'Safeguard facility data'!BJ$4:BJ$312,"&gt;0"))</f>
        <v>0</v>
      </c>
      <c r="D298" s="67">
        <f>(SUMIFS('Safeguard facility data'!BD$4:BD$312,'Safeguard facility data'!$A$4:$A$312,$A298,'Safeguard facility data'!BD$4:BD$312,"&gt;0"))-(SUMIFS('Safeguard facility data'!BK$4:BK$312,'Safeguard facility data'!$A$4:$A$312,$A298,'Safeguard facility data'!BK$4:BK$312,"&gt;0"))</f>
        <v>0</v>
      </c>
      <c r="E298" s="67">
        <f>(SUMIFS('Safeguard facility data'!BE$4:BE$312,'Safeguard facility data'!$A$4:$A$312,$A298,'Safeguard facility data'!BE$4:BE$312,"&gt;0"))-(SUMIFS('Safeguard facility data'!BL$4:BL$312,'Safeguard facility data'!$A$4:$A$312,$A298,'Safeguard facility data'!BL$4:BL$312,"&gt;0"))</f>
        <v>0</v>
      </c>
      <c r="F298" s="67">
        <f>(SUMIFS('Safeguard facility data'!BF$4:BF$312,'Safeguard facility data'!$A$4:$A$312,$A298,'Safeguard facility data'!BF$4:BF$312,"&gt;0"))-(SUMIFS('Safeguard facility data'!BM$4:BM$312,'Safeguard facility data'!$A$4:$A$312,$A298,'Safeguard facility data'!BM$4:BM$312,"&gt;0"))</f>
        <v>-3394</v>
      </c>
      <c r="G298" s="67"/>
      <c r="H298" s="67"/>
      <c r="I298" s="67"/>
      <c r="J298" s="67"/>
      <c r="K298" s="67"/>
      <c r="L298" s="67"/>
      <c r="M298" s="67"/>
      <c r="N298" s="67"/>
      <c r="O298" s="67"/>
      <c r="P298" s="67"/>
      <c r="Q298" s="67"/>
    </row>
    <row r="299" spans="1:17">
      <c r="A299" s="87" t="s">
        <v>589</v>
      </c>
      <c r="B299" s="67">
        <f>(SUMIFS('Safeguard facility data'!BB$4:BB$312,'Safeguard facility data'!$A$4:$A$312,$A299,'Safeguard facility data'!BB$4:BB$312,"&gt;0"))-(SUMIFS('Safeguard facility data'!BI$4:BI$312,'Safeguard facility data'!$A$4:$A$312,$A299,'Safeguard facility data'!BI$4:BI$312,"&gt;0"))</f>
        <v>9173</v>
      </c>
      <c r="C299" s="67">
        <f>(SUMIFS('Safeguard facility data'!BC$4:BC$312,'Safeguard facility data'!$A$4:$A$312,$A299,'Safeguard facility data'!BC$4:BC$312,"&gt;0"))-(SUMIFS('Safeguard facility data'!BJ$4:BJ$312,'Safeguard facility data'!$A$4:$A$312,$A299,'Safeguard facility data'!BJ$4:BJ$312,"&gt;0"))</f>
        <v>4017</v>
      </c>
      <c r="D299" s="67">
        <f>(SUMIFS('Safeguard facility data'!BD$4:BD$312,'Safeguard facility data'!$A$4:$A$312,$A299,'Safeguard facility data'!BD$4:BD$312,"&gt;0"))-(SUMIFS('Safeguard facility data'!BK$4:BK$312,'Safeguard facility data'!$A$4:$A$312,$A299,'Safeguard facility data'!BK$4:BK$312,"&gt;0"))</f>
        <v>3882</v>
      </c>
      <c r="E299" s="67">
        <f>(SUMIFS('Safeguard facility data'!BE$4:BE$312,'Safeguard facility data'!$A$4:$A$312,$A299,'Safeguard facility data'!BE$4:BE$312,"&gt;0"))-(SUMIFS('Safeguard facility data'!BL$4:BL$312,'Safeguard facility data'!$A$4:$A$312,$A299,'Safeguard facility data'!BL$4:BL$312,"&gt;0"))</f>
        <v>1365</v>
      </c>
      <c r="F299" s="67">
        <f>(SUMIFS('Safeguard facility data'!BF$4:BF$312,'Safeguard facility data'!$A$4:$A$312,$A299,'Safeguard facility data'!BF$4:BF$312,"&gt;0"))-(SUMIFS('Safeguard facility data'!BM$4:BM$312,'Safeguard facility data'!$A$4:$A$312,$A299,'Safeguard facility data'!BM$4:BM$312,"&gt;0"))</f>
        <v>20097</v>
      </c>
      <c r="G299" s="67"/>
      <c r="H299" s="67"/>
      <c r="I299" s="67"/>
      <c r="J299" s="67"/>
      <c r="K299" s="67"/>
      <c r="L299" s="67"/>
      <c r="M299" s="67"/>
      <c r="N299" s="67"/>
      <c r="O299" s="67"/>
      <c r="P299" s="67"/>
      <c r="Q299" s="67"/>
    </row>
    <row r="300" spans="1:17">
      <c r="A300" s="87" t="s">
        <v>590</v>
      </c>
      <c r="B300" s="67">
        <f>(SUMIFS('Safeguard facility data'!BB$4:BB$312,'Safeguard facility data'!$A$4:$A$312,$A300,'Safeguard facility data'!BB$4:BB$312,"&gt;0"))-(SUMIFS('Safeguard facility data'!BI$4:BI$312,'Safeguard facility data'!$A$4:$A$312,$A300,'Safeguard facility data'!BI$4:BI$312,"&gt;0"))</f>
        <v>0</v>
      </c>
      <c r="C300" s="67">
        <f>(SUMIFS('Safeguard facility data'!BC$4:BC$312,'Safeguard facility data'!$A$4:$A$312,$A300,'Safeguard facility data'!BC$4:BC$312,"&gt;0"))-(SUMIFS('Safeguard facility data'!BJ$4:BJ$312,'Safeguard facility data'!$A$4:$A$312,$A300,'Safeguard facility data'!BJ$4:BJ$312,"&gt;0"))</f>
        <v>1168728</v>
      </c>
      <c r="D300" s="67">
        <f>(SUMIFS('Safeguard facility data'!BD$4:BD$312,'Safeguard facility data'!$A$4:$A$312,$A300,'Safeguard facility data'!BD$4:BD$312,"&gt;0"))-(SUMIFS('Safeguard facility data'!BK$4:BK$312,'Safeguard facility data'!$A$4:$A$312,$A300,'Safeguard facility data'!BK$4:BK$312,"&gt;0"))</f>
        <v>37061</v>
      </c>
      <c r="E300" s="67">
        <f>(SUMIFS('Safeguard facility data'!BE$4:BE$312,'Safeguard facility data'!$A$4:$A$312,$A300,'Safeguard facility data'!BE$4:BE$312,"&gt;0"))-(SUMIFS('Safeguard facility data'!BL$4:BL$312,'Safeguard facility data'!$A$4:$A$312,$A300,'Safeguard facility data'!BL$4:BL$312,"&gt;0"))</f>
        <v>244860</v>
      </c>
      <c r="F300" s="67">
        <f>(SUMIFS('Safeguard facility data'!BF$4:BF$312,'Safeguard facility data'!$A$4:$A$312,$A300,'Safeguard facility data'!BF$4:BF$312,"&gt;0"))-(SUMIFS('Safeguard facility data'!BM$4:BM$312,'Safeguard facility data'!$A$4:$A$312,$A300,'Safeguard facility data'!BM$4:BM$312,"&gt;0"))</f>
        <v>317865</v>
      </c>
      <c r="G300" s="67"/>
      <c r="H300" s="67"/>
      <c r="I300" s="67"/>
      <c r="J300" s="67"/>
      <c r="K300" s="67"/>
      <c r="L300" s="67"/>
      <c r="M300" s="67"/>
      <c r="N300" s="67"/>
      <c r="O300" s="67"/>
      <c r="P300" s="67"/>
      <c r="Q300" s="67"/>
    </row>
    <row r="301" spans="1:17">
      <c r="A301" s="87" t="s">
        <v>591</v>
      </c>
      <c r="B301" s="67">
        <f>(SUMIFS('Safeguard facility data'!BB$4:BB$312,'Safeguard facility data'!$A$4:$A$312,$A301,'Safeguard facility data'!BB$4:BB$312,"&gt;0"))-(SUMIFS('Safeguard facility data'!BI$4:BI$312,'Safeguard facility data'!$A$4:$A$312,$A301,'Safeguard facility data'!BI$4:BI$312,"&gt;0"))</f>
        <v>59504</v>
      </c>
      <c r="C301" s="67">
        <f>(SUMIFS('Safeguard facility data'!BC$4:BC$312,'Safeguard facility data'!$A$4:$A$312,$A301,'Safeguard facility data'!BC$4:BC$312,"&gt;0"))-(SUMIFS('Safeguard facility data'!BJ$4:BJ$312,'Safeguard facility data'!$A$4:$A$312,$A301,'Safeguard facility data'!BJ$4:BJ$312,"&gt;0"))</f>
        <v>-55131</v>
      </c>
      <c r="D301" s="67">
        <f>(SUMIFS('Safeguard facility data'!BD$4:BD$312,'Safeguard facility data'!$A$4:$A$312,$A301,'Safeguard facility data'!BD$4:BD$312,"&gt;0"))-(SUMIFS('Safeguard facility data'!BK$4:BK$312,'Safeguard facility data'!$A$4:$A$312,$A301,'Safeguard facility data'!BK$4:BK$312,"&gt;0"))</f>
        <v>164882</v>
      </c>
      <c r="E301" s="67">
        <f>(SUMIFS('Safeguard facility data'!BE$4:BE$312,'Safeguard facility data'!$A$4:$A$312,$A301,'Safeguard facility data'!BE$4:BE$312,"&gt;0"))-(SUMIFS('Safeguard facility data'!BL$4:BL$312,'Safeguard facility data'!$A$4:$A$312,$A301,'Safeguard facility data'!BL$4:BL$312,"&gt;0"))</f>
        <v>229260</v>
      </c>
      <c r="F301" s="67">
        <f>(SUMIFS('Safeguard facility data'!BF$4:BF$312,'Safeguard facility data'!$A$4:$A$312,$A301,'Safeguard facility data'!BF$4:BF$312,"&gt;0"))-(SUMIFS('Safeguard facility data'!BM$4:BM$312,'Safeguard facility data'!$A$4:$A$312,$A301,'Safeguard facility data'!BM$4:BM$312,"&gt;0"))</f>
        <v>229260</v>
      </c>
      <c r="G301" s="67"/>
      <c r="H301" s="67"/>
      <c r="I301" s="67"/>
      <c r="J301" s="67"/>
      <c r="K301" s="67"/>
      <c r="L301" s="67"/>
      <c r="M301" s="67"/>
      <c r="N301" s="67"/>
      <c r="O301" s="67"/>
      <c r="P301" s="67"/>
      <c r="Q301" s="67"/>
    </row>
    <row r="302" spans="1:17">
      <c r="A302" s="87" t="s">
        <v>592</v>
      </c>
      <c r="B302" s="67">
        <f>(SUMIFS('Safeguard facility data'!BB$4:BB$312,'Safeguard facility data'!$A$4:$A$312,$A302,'Safeguard facility data'!BB$4:BB$312,"&gt;0"))-(SUMIFS('Safeguard facility data'!BI$4:BI$312,'Safeguard facility data'!$A$4:$A$312,$A302,'Safeguard facility data'!BI$4:BI$312,"&gt;0"))</f>
        <v>122356</v>
      </c>
      <c r="C302" s="67">
        <f>(SUMIFS('Safeguard facility data'!BC$4:BC$312,'Safeguard facility data'!$A$4:$A$312,$A302,'Safeguard facility data'!BC$4:BC$312,"&gt;0"))-(SUMIFS('Safeguard facility data'!BJ$4:BJ$312,'Safeguard facility data'!$A$4:$A$312,$A302,'Safeguard facility data'!BJ$4:BJ$312,"&gt;0"))</f>
        <v>122356</v>
      </c>
      <c r="D302" s="67">
        <f>(SUMIFS('Safeguard facility data'!BD$4:BD$312,'Safeguard facility data'!$A$4:$A$312,$A302,'Safeguard facility data'!BD$4:BD$312,"&gt;0"))-(SUMIFS('Safeguard facility data'!BK$4:BK$312,'Safeguard facility data'!$A$4:$A$312,$A302,'Safeguard facility data'!BK$4:BK$312,"&gt;0"))</f>
        <v>122356</v>
      </c>
      <c r="E302" s="67">
        <f>(SUMIFS('Safeguard facility data'!BE$4:BE$312,'Safeguard facility data'!$A$4:$A$312,$A302,'Safeguard facility data'!BE$4:BE$312,"&gt;0"))-(SUMIFS('Safeguard facility data'!BL$4:BL$312,'Safeguard facility data'!$A$4:$A$312,$A302,'Safeguard facility data'!BL$4:BL$312,"&gt;0"))</f>
        <v>122356</v>
      </c>
      <c r="F302" s="67">
        <f>(SUMIFS('Safeguard facility data'!BF$4:BF$312,'Safeguard facility data'!$A$4:$A$312,$A302,'Safeguard facility data'!BF$4:BF$312,"&gt;0"))-(SUMIFS('Safeguard facility data'!BM$4:BM$312,'Safeguard facility data'!$A$4:$A$312,$A302,'Safeguard facility data'!BM$4:BM$312,"&gt;0"))</f>
        <v>122356</v>
      </c>
      <c r="G302" s="67"/>
      <c r="H302" s="67"/>
      <c r="I302" s="67"/>
      <c r="J302" s="67"/>
      <c r="K302" s="67"/>
      <c r="L302" s="67"/>
      <c r="M302" s="67"/>
      <c r="N302" s="67"/>
      <c r="O302" s="67"/>
      <c r="P302" s="67"/>
      <c r="Q302" s="67"/>
    </row>
    <row r="303" spans="1:17">
      <c r="A303" s="87" t="s">
        <v>593</v>
      </c>
      <c r="B303" s="67">
        <f>(SUMIFS('Safeguard facility data'!BB$4:BB$312,'Safeguard facility data'!$A$4:$A$312,$A303,'Safeguard facility data'!BB$4:BB$312,"&gt;0"))-(SUMIFS('Safeguard facility data'!BI$4:BI$312,'Safeguard facility data'!$A$4:$A$312,$A303,'Safeguard facility data'!BI$4:BI$312,"&gt;0"))</f>
        <v>686913</v>
      </c>
      <c r="C303" s="67">
        <f>(SUMIFS('Safeguard facility data'!BC$4:BC$312,'Safeguard facility data'!$A$4:$A$312,$A303,'Safeguard facility data'!BC$4:BC$312,"&gt;0"))-(SUMIFS('Safeguard facility data'!BJ$4:BJ$312,'Safeguard facility data'!$A$4:$A$312,$A303,'Safeguard facility data'!BJ$4:BJ$312,"&gt;0"))</f>
        <v>668602</v>
      </c>
      <c r="D303" s="67">
        <f>(SUMIFS('Safeguard facility data'!BD$4:BD$312,'Safeguard facility data'!$A$4:$A$312,$A303,'Safeguard facility data'!BD$4:BD$312,"&gt;0"))-(SUMIFS('Safeguard facility data'!BK$4:BK$312,'Safeguard facility data'!$A$4:$A$312,$A303,'Safeguard facility data'!BK$4:BK$312,"&gt;0"))</f>
        <v>656793</v>
      </c>
      <c r="E303" s="67">
        <f>(SUMIFS('Safeguard facility data'!BE$4:BE$312,'Safeguard facility data'!$A$4:$A$312,$A303,'Safeguard facility data'!BE$4:BE$312,"&gt;0"))-(SUMIFS('Safeguard facility data'!BL$4:BL$312,'Safeguard facility data'!$A$4:$A$312,$A303,'Safeguard facility data'!BL$4:BL$312,"&gt;0"))</f>
        <v>650651</v>
      </c>
      <c r="F303" s="67">
        <f>(SUMIFS('Safeguard facility data'!BF$4:BF$312,'Safeguard facility data'!$A$4:$A$312,$A303,'Safeguard facility data'!BF$4:BF$312,"&gt;0"))-(SUMIFS('Safeguard facility data'!BM$4:BM$312,'Safeguard facility data'!$A$4:$A$312,$A303,'Safeguard facility data'!BM$4:BM$312,"&gt;0"))</f>
        <v>67153</v>
      </c>
      <c r="G303" s="67"/>
      <c r="H303" s="67"/>
      <c r="I303" s="67"/>
      <c r="J303" s="67"/>
      <c r="K303" s="67"/>
      <c r="L303" s="67"/>
      <c r="M303" s="67"/>
      <c r="N303" s="67"/>
      <c r="O303" s="67"/>
      <c r="P303" s="67"/>
      <c r="Q303" s="67"/>
    </row>
    <row r="304" spans="1:17">
      <c r="A304" s="87" t="s">
        <v>594</v>
      </c>
      <c r="B304" s="67">
        <f>(SUMIFS('Safeguard facility data'!BB$4:BB$312,'Safeguard facility data'!$A$4:$A$312,$A304,'Safeguard facility data'!BB$4:BB$312,"&gt;0"))-(SUMIFS('Safeguard facility data'!BI$4:BI$312,'Safeguard facility data'!$A$4:$A$312,$A304,'Safeguard facility data'!BI$4:BI$312,"&gt;0"))</f>
        <v>294217</v>
      </c>
      <c r="C304" s="67">
        <f>(SUMIFS('Safeguard facility data'!BC$4:BC$312,'Safeguard facility data'!$A$4:$A$312,$A304,'Safeguard facility data'!BC$4:BC$312,"&gt;0"))-(SUMIFS('Safeguard facility data'!BJ$4:BJ$312,'Safeguard facility data'!$A$4:$A$312,$A304,'Safeguard facility data'!BJ$4:BJ$312,"&gt;0"))</f>
        <v>294217</v>
      </c>
      <c r="D304" s="67">
        <f>(SUMIFS('Safeguard facility data'!BD$4:BD$312,'Safeguard facility data'!$A$4:$A$312,$A304,'Safeguard facility data'!BD$4:BD$312,"&gt;0"))-(SUMIFS('Safeguard facility data'!BK$4:BK$312,'Safeguard facility data'!$A$4:$A$312,$A304,'Safeguard facility data'!BK$4:BK$312,"&gt;0"))</f>
        <v>294217</v>
      </c>
      <c r="E304" s="67">
        <f>(SUMIFS('Safeguard facility data'!BE$4:BE$312,'Safeguard facility data'!$A$4:$A$312,$A304,'Safeguard facility data'!BE$4:BE$312,"&gt;0"))-(SUMIFS('Safeguard facility data'!BL$4:BL$312,'Safeguard facility data'!$A$4:$A$312,$A304,'Safeguard facility data'!BL$4:BL$312,"&gt;0"))</f>
        <v>294217</v>
      </c>
      <c r="F304" s="67">
        <f>(SUMIFS('Safeguard facility data'!BF$4:BF$312,'Safeguard facility data'!$A$4:$A$312,$A304,'Safeguard facility data'!BF$4:BF$312,"&gt;0"))-(SUMIFS('Safeguard facility data'!BM$4:BM$312,'Safeguard facility data'!$A$4:$A$312,$A304,'Safeguard facility data'!BM$4:BM$312,"&gt;0"))</f>
        <v>294217</v>
      </c>
      <c r="G304" s="67"/>
      <c r="H304" s="67"/>
      <c r="I304" s="67"/>
      <c r="J304" s="67"/>
      <c r="K304" s="67"/>
      <c r="L304" s="67"/>
      <c r="M304" s="67"/>
      <c r="N304" s="67"/>
      <c r="O304" s="67"/>
      <c r="P304" s="67"/>
      <c r="Q304" s="67"/>
    </row>
    <row r="305" spans="1:17">
      <c r="A305" s="87" t="s">
        <v>595</v>
      </c>
      <c r="B305" s="67">
        <f>(SUMIFS('Safeguard facility data'!BB$4:BB$312,'Safeguard facility data'!$A$4:$A$312,$A305,'Safeguard facility data'!BB$4:BB$312,"&gt;0"))-(SUMIFS('Safeguard facility data'!BI$4:BI$312,'Safeguard facility data'!$A$4:$A$312,$A305,'Safeguard facility data'!BI$4:BI$312,"&gt;0"))</f>
        <v>142756</v>
      </c>
      <c r="C305" s="67">
        <f>(SUMIFS('Safeguard facility data'!BC$4:BC$312,'Safeguard facility data'!$A$4:$A$312,$A305,'Safeguard facility data'!BC$4:BC$312,"&gt;0"))-(SUMIFS('Safeguard facility data'!BJ$4:BJ$312,'Safeguard facility data'!$A$4:$A$312,$A305,'Safeguard facility data'!BJ$4:BJ$312,"&gt;0"))</f>
        <v>142756</v>
      </c>
      <c r="D305" s="67">
        <f>(SUMIFS('Safeguard facility data'!BD$4:BD$312,'Safeguard facility data'!$A$4:$A$312,$A305,'Safeguard facility data'!BD$4:BD$312,"&gt;0"))-(SUMIFS('Safeguard facility data'!BK$4:BK$312,'Safeguard facility data'!$A$4:$A$312,$A305,'Safeguard facility data'!BK$4:BK$312,"&gt;0"))</f>
        <v>142756</v>
      </c>
      <c r="E305" s="67">
        <f>(SUMIFS('Safeguard facility data'!BE$4:BE$312,'Safeguard facility data'!$A$4:$A$312,$A305,'Safeguard facility data'!BE$4:BE$312,"&gt;0"))-(SUMIFS('Safeguard facility data'!BL$4:BL$312,'Safeguard facility data'!$A$4:$A$312,$A305,'Safeguard facility data'!BL$4:BL$312,"&gt;0"))</f>
        <v>142756</v>
      </c>
      <c r="F305" s="67">
        <f>(SUMIFS('Safeguard facility data'!BF$4:BF$312,'Safeguard facility data'!$A$4:$A$312,$A305,'Safeguard facility data'!BF$4:BF$312,"&gt;0"))-(SUMIFS('Safeguard facility data'!BM$4:BM$312,'Safeguard facility data'!$A$4:$A$312,$A305,'Safeguard facility data'!BM$4:BM$312,"&gt;0"))</f>
        <v>142756</v>
      </c>
      <c r="G305" s="67"/>
      <c r="H305" s="67"/>
      <c r="I305" s="67"/>
      <c r="J305" s="67"/>
      <c r="K305" s="67"/>
      <c r="L305" s="67"/>
      <c r="M305" s="67"/>
      <c r="N305" s="67"/>
      <c r="O305" s="67"/>
      <c r="P305" s="67"/>
      <c r="Q305" s="67"/>
    </row>
    <row r="306" spans="1:17">
      <c r="A306" s="87" t="s">
        <v>596</v>
      </c>
      <c r="B306" s="67">
        <f>(SUMIFS('Safeguard facility data'!BB$4:BB$312,'Safeguard facility data'!$A$4:$A$312,$A306,'Safeguard facility data'!BB$4:BB$312,"&gt;0"))-(SUMIFS('Safeguard facility data'!BI$4:BI$312,'Safeguard facility data'!$A$4:$A$312,$A306,'Safeguard facility data'!BI$4:BI$312,"&gt;0"))</f>
        <v>61404</v>
      </c>
      <c r="C306" s="67">
        <f>(SUMIFS('Safeguard facility data'!BC$4:BC$312,'Safeguard facility data'!$A$4:$A$312,$A306,'Safeguard facility data'!BC$4:BC$312,"&gt;0"))-(SUMIFS('Safeguard facility data'!BJ$4:BJ$312,'Safeguard facility data'!$A$4:$A$312,$A306,'Safeguard facility data'!BJ$4:BJ$312,"&gt;0"))</f>
        <v>141410</v>
      </c>
      <c r="D306" s="67">
        <f>(SUMIFS('Safeguard facility data'!BD$4:BD$312,'Safeguard facility data'!$A$4:$A$312,$A306,'Safeguard facility data'!BD$4:BD$312,"&gt;0"))-(SUMIFS('Safeguard facility data'!BK$4:BK$312,'Safeguard facility data'!$A$4:$A$312,$A306,'Safeguard facility data'!BK$4:BK$312,"&gt;0"))</f>
        <v>108805</v>
      </c>
      <c r="E306" s="67">
        <f>(SUMIFS('Safeguard facility data'!BE$4:BE$312,'Safeguard facility data'!$A$4:$A$312,$A306,'Safeguard facility data'!BE$4:BE$312,"&gt;0"))-(SUMIFS('Safeguard facility data'!BL$4:BL$312,'Safeguard facility data'!$A$4:$A$312,$A306,'Safeguard facility data'!BL$4:BL$312,"&gt;0"))</f>
        <v>-269</v>
      </c>
      <c r="F306" s="67">
        <f>(SUMIFS('Safeguard facility data'!BF$4:BF$312,'Safeguard facility data'!$A$4:$A$312,$A306,'Safeguard facility data'!BF$4:BF$312,"&gt;0"))-(SUMIFS('Safeguard facility data'!BM$4:BM$312,'Safeguard facility data'!$A$4:$A$312,$A306,'Safeguard facility data'!BM$4:BM$312,"&gt;0"))</f>
        <v>60977</v>
      </c>
      <c r="G306" s="67"/>
      <c r="H306" s="67"/>
      <c r="I306" s="67"/>
      <c r="J306" s="67"/>
      <c r="K306" s="67"/>
      <c r="L306" s="67"/>
      <c r="M306" s="67"/>
      <c r="N306" s="67"/>
      <c r="O306" s="67"/>
      <c r="P306" s="67"/>
      <c r="Q306" s="67"/>
    </row>
    <row r="307" spans="1:17">
      <c r="A307" s="87" t="s">
        <v>597</v>
      </c>
      <c r="B307" s="67">
        <f>(SUMIFS('Safeguard facility data'!BB$4:BB$312,'Safeguard facility data'!$A$4:$A$312,$A307,'Safeguard facility data'!BB$4:BB$312,"&gt;0"))-(SUMIFS('Safeguard facility data'!BI$4:BI$312,'Safeguard facility data'!$A$4:$A$312,$A307,'Safeguard facility data'!BI$4:BI$312,"&gt;0"))</f>
        <v>7364</v>
      </c>
      <c r="C307" s="67">
        <f>(SUMIFS('Safeguard facility data'!BC$4:BC$312,'Safeguard facility data'!$A$4:$A$312,$A307,'Safeguard facility data'!BC$4:BC$312,"&gt;0"))-(SUMIFS('Safeguard facility data'!BJ$4:BJ$312,'Safeguard facility data'!$A$4:$A$312,$A307,'Safeguard facility data'!BJ$4:BJ$312,"&gt;0"))</f>
        <v>15811</v>
      </c>
      <c r="D307" s="67">
        <f>(SUMIFS('Safeguard facility data'!BD$4:BD$312,'Safeguard facility data'!$A$4:$A$312,$A307,'Safeguard facility data'!BD$4:BD$312,"&gt;0"))-(SUMIFS('Safeguard facility data'!BK$4:BK$312,'Safeguard facility data'!$A$4:$A$312,$A307,'Safeguard facility data'!BK$4:BK$312,"&gt;0"))</f>
        <v>-2495</v>
      </c>
      <c r="E307" s="67">
        <f>(SUMIFS('Safeguard facility data'!BE$4:BE$312,'Safeguard facility data'!$A$4:$A$312,$A307,'Safeguard facility data'!BE$4:BE$312,"&gt;0"))-(SUMIFS('Safeguard facility data'!BL$4:BL$312,'Safeguard facility data'!$A$4:$A$312,$A307,'Safeguard facility data'!BL$4:BL$312,"&gt;0"))</f>
        <v>170252</v>
      </c>
      <c r="F307" s="67">
        <f>(SUMIFS('Safeguard facility data'!BF$4:BF$312,'Safeguard facility data'!$A$4:$A$312,$A307,'Safeguard facility data'!BF$4:BF$312,"&gt;0"))-(SUMIFS('Safeguard facility data'!BM$4:BM$312,'Safeguard facility data'!$A$4:$A$312,$A307,'Safeguard facility data'!BM$4:BM$312,"&gt;0"))</f>
        <v>188817</v>
      </c>
      <c r="G307" s="67"/>
      <c r="H307" s="67"/>
      <c r="I307" s="67"/>
      <c r="J307" s="67"/>
      <c r="K307" s="67"/>
      <c r="L307" s="67"/>
      <c r="M307" s="67"/>
      <c r="N307" s="67"/>
      <c r="O307" s="67"/>
      <c r="P307" s="67"/>
      <c r="Q307" s="67"/>
    </row>
    <row r="308" spans="1:17">
      <c r="A308" s="87" t="s">
        <v>598</v>
      </c>
      <c r="B308" s="67">
        <f>(SUMIFS('Safeguard facility data'!BB$4:BB$312,'Safeguard facility data'!$A$4:$A$312,$A308,'Safeguard facility data'!BB$4:BB$312,"&gt;0"))-(SUMIFS('Safeguard facility data'!BI$4:BI$312,'Safeguard facility data'!$A$4:$A$312,$A308,'Safeguard facility data'!BI$4:BI$312,"&gt;0"))</f>
        <v>-9752</v>
      </c>
      <c r="C308" s="67">
        <f>(SUMIFS('Safeguard facility data'!BC$4:BC$312,'Safeguard facility data'!$A$4:$A$312,$A308,'Safeguard facility data'!BC$4:BC$312,"&gt;0"))-(SUMIFS('Safeguard facility data'!BJ$4:BJ$312,'Safeguard facility data'!$A$4:$A$312,$A308,'Safeguard facility data'!BJ$4:BJ$312,"&gt;0"))</f>
        <v>-10101</v>
      </c>
      <c r="D308" s="67">
        <f>(SUMIFS('Safeguard facility data'!BD$4:BD$312,'Safeguard facility data'!$A$4:$A$312,$A308,'Safeguard facility data'!BD$4:BD$312,"&gt;0"))-(SUMIFS('Safeguard facility data'!BK$4:BK$312,'Safeguard facility data'!$A$4:$A$312,$A308,'Safeguard facility data'!BK$4:BK$312,"&gt;0"))</f>
        <v>-9344</v>
      </c>
      <c r="E308" s="67">
        <f>(SUMIFS('Safeguard facility data'!BE$4:BE$312,'Safeguard facility data'!$A$4:$A$312,$A308,'Safeguard facility data'!BE$4:BE$312,"&gt;0"))-(SUMIFS('Safeguard facility data'!BL$4:BL$312,'Safeguard facility data'!$A$4:$A$312,$A308,'Safeguard facility data'!BL$4:BL$312,"&gt;0"))</f>
        <v>-15219</v>
      </c>
      <c r="F308" s="67">
        <f>(SUMIFS('Safeguard facility data'!BF$4:BF$312,'Safeguard facility data'!$A$4:$A$312,$A308,'Safeguard facility data'!BF$4:BF$312,"&gt;0"))-(SUMIFS('Safeguard facility data'!BM$4:BM$312,'Safeguard facility data'!$A$4:$A$312,$A308,'Safeguard facility data'!BM$4:BM$312,"&gt;0"))</f>
        <v>110691</v>
      </c>
      <c r="G308" s="67"/>
      <c r="H308" s="67"/>
      <c r="I308" s="67"/>
      <c r="J308" s="67"/>
      <c r="K308" s="67"/>
      <c r="L308" s="67"/>
      <c r="M308" s="67"/>
      <c r="N308" s="67"/>
      <c r="O308" s="67"/>
      <c r="P308" s="67"/>
      <c r="Q308" s="67"/>
    </row>
    <row r="309" spans="1:17">
      <c r="A309" s="87" t="s">
        <v>599</v>
      </c>
      <c r="B309" s="67">
        <f>(SUMIFS('Safeguard facility data'!BB$4:BB$312,'Safeguard facility data'!$A$4:$A$312,$A309,'Safeguard facility data'!BB$4:BB$312,"&gt;0"))-(SUMIFS('Safeguard facility data'!BI$4:BI$312,'Safeguard facility data'!$A$4:$A$312,$A309,'Safeguard facility data'!BI$4:BI$312,"&gt;0"))</f>
        <v>19806</v>
      </c>
      <c r="C309" s="67">
        <f>(SUMIFS('Safeguard facility data'!BC$4:BC$312,'Safeguard facility data'!$A$4:$A$312,$A309,'Safeguard facility data'!BC$4:BC$312,"&gt;0"))-(SUMIFS('Safeguard facility data'!BJ$4:BJ$312,'Safeguard facility data'!$A$4:$A$312,$A309,'Safeguard facility data'!BJ$4:BJ$312,"&gt;0"))</f>
        <v>23106</v>
      </c>
      <c r="D309" s="67">
        <f>(SUMIFS('Safeguard facility data'!BD$4:BD$312,'Safeguard facility data'!$A$4:$A$312,$A309,'Safeguard facility data'!BD$4:BD$312,"&gt;0"))-(SUMIFS('Safeguard facility data'!BK$4:BK$312,'Safeguard facility data'!$A$4:$A$312,$A309,'Safeguard facility data'!BK$4:BK$312,"&gt;0"))</f>
        <v>20846</v>
      </c>
      <c r="E309" s="67">
        <f>(SUMIFS('Safeguard facility data'!BE$4:BE$312,'Safeguard facility data'!$A$4:$A$312,$A309,'Safeguard facility data'!BE$4:BE$312,"&gt;0"))-(SUMIFS('Safeguard facility data'!BL$4:BL$312,'Safeguard facility data'!$A$4:$A$312,$A309,'Safeguard facility data'!BL$4:BL$312,"&gt;0"))</f>
        <v>7385</v>
      </c>
      <c r="F309" s="67">
        <f>(SUMIFS('Safeguard facility data'!BF$4:BF$312,'Safeguard facility data'!$A$4:$A$312,$A309,'Safeguard facility data'!BF$4:BF$312,"&gt;0"))-(SUMIFS('Safeguard facility data'!BM$4:BM$312,'Safeguard facility data'!$A$4:$A$312,$A309,'Safeguard facility data'!BM$4:BM$312,"&gt;0"))</f>
        <v>18704</v>
      </c>
      <c r="G309" s="67"/>
      <c r="H309" s="67"/>
      <c r="I309" s="67"/>
      <c r="J309" s="67"/>
      <c r="K309" s="67"/>
      <c r="L309" s="67"/>
      <c r="M309" s="67"/>
      <c r="N309" s="67"/>
      <c r="O309" s="67"/>
      <c r="P309" s="67"/>
      <c r="Q309" s="67"/>
    </row>
    <row r="310" spans="1:17">
      <c r="A310" s="87" t="s">
        <v>600</v>
      </c>
      <c r="B310" s="67">
        <f>(SUMIFS('Safeguard facility data'!BB$4:BB$312,'Safeguard facility data'!$A$4:$A$312,$A310,'Safeguard facility data'!BB$4:BB$312,"&gt;0"))-(SUMIFS('Safeguard facility data'!BI$4:BI$312,'Safeguard facility data'!$A$4:$A$312,$A310,'Safeguard facility data'!BI$4:BI$312,"&gt;0"))</f>
        <v>883945</v>
      </c>
      <c r="C310" s="67">
        <f>(SUMIFS('Safeguard facility data'!BC$4:BC$312,'Safeguard facility data'!$A$4:$A$312,$A310,'Safeguard facility data'!BC$4:BC$312,"&gt;0"))-(SUMIFS('Safeguard facility data'!BJ$4:BJ$312,'Safeguard facility data'!$A$4:$A$312,$A310,'Safeguard facility data'!BJ$4:BJ$312,"&gt;0"))</f>
        <v>677206</v>
      </c>
      <c r="D310" s="67">
        <f>(SUMIFS('Safeguard facility data'!BD$4:BD$312,'Safeguard facility data'!$A$4:$A$312,$A310,'Safeguard facility data'!BD$4:BD$312,"&gt;0"))-(SUMIFS('Safeguard facility data'!BK$4:BK$312,'Safeguard facility data'!$A$4:$A$312,$A310,'Safeguard facility data'!BK$4:BK$312,"&gt;0"))</f>
        <v>529916</v>
      </c>
      <c r="E310" s="67">
        <f>(SUMIFS('Safeguard facility data'!BE$4:BE$312,'Safeguard facility data'!$A$4:$A$312,$A310,'Safeguard facility data'!BE$4:BE$312,"&gt;0"))-(SUMIFS('Safeguard facility data'!BL$4:BL$312,'Safeguard facility data'!$A$4:$A$312,$A310,'Safeguard facility data'!BL$4:BL$312,"&gt;0"))</f>
        <v>36064</v>
      </c>
      <c r="F310" s="67">
        <f>(SUMIFS('Safeguard facility data'!BF$4:BF$312,'Safeguard facility data'!$A$4:$A$312,$A310,'Safeguard facility data'!BF$4:BF$312,"&gt;0"))-(SUMIFS('Safeguard facility data'!BM$4:BM$312,'Safeguard facility data'!$A$4:$A$312,$A310,'Safeguard facility data'!BM$4:BM$312,"&gt;0"))</f>
        <v>31621</v>
      </c>
      <c r="G310" s="67"/>
      <c r="H310" s="67"/>
      <c r="I310" s="67"/>
      <c r="J310" s="67"/>
      <c r="K310" s="67"/>
      <c r="L310" s="67"/>
      <c r="M310" s="67"/>
      <c r="N310" s="67"/>
      <c r="O310" s="67"/>
      <c r="P310" s="67"/>
      <c r="Q310" s="67"/>
    </row>
    <row r="311" spans="1:17">
      <c r="A311" s="87" t="s">
        <v>601</v>
      </c>
      <c r="B311" s="67">
        <f>(SUMIFS('Safeguard facility data'!BB$4:BB$312,'Safeguard facility data'!$A$4:$A$312,$A311,'Safeguard facility data'!BB$4:BB$312,"&gt;0"))-(SUMIFS('Safeguard facility data'!BI$4:BI$312,'Safeguard facility data'!$A$4:$A$312,$A311,'Safeguard facility data'!BI$4:BI$312,"&gt;0"))</f>
        <v>1623773</v>
      </c>
      <c r="C311" s="67">
        <f>(SUMIFS('Safeguard facility data'!BC$4:BC$312,'Safeguard facility data'!$A$4:$A$312,$A311,'Safeguard facility data'!BC$4:BC$312,"&gt;0"))-(SUMIFS('Safeguard facility data'!BJ$4:BJ$312,'Safeguard facility data'!$A$4:$A$312,$A311,'Safeguard facility data'!BJ$4:BJ$312,"&gt;0"))</f>
        <v>111281</v>
      </c>
      <c r="D311" s="67">
        <f>(SUMIFS('Safeguard facility data'!BD$4:BD$312,'Safeguard facility data'!$A$4:$A$312,$A311,'Safeguard facility data'!BD$4:BD$312,"&gt;0"))-(SUMIFS('Safeguard facility data'!BK$4:BK$312,'Safeguard facility data'!$A$4:$A$312,$A311,'Safeguard facility data'!BK$4:BK$312,"&gt;0"))</f>
        <v>631532</v>
      </c>
      <c r="E311" s="67">
        <f>(SUMIFS('Safeguard facility data'!BE$4:BE$312,'Safeguard facility data'!$A$4:$A$312,$A311,'Safeguard facility data'!BE$4:BE$312,"&gt;0"))-(SUMIFS('Safeguard facility data'!BL$4:BL$312,'Safeguard facility data'!$A$4:$A$312,$A311,'Safeguard facility data'!BL$4:BL$312,"&gt;0"))</f>
        <v>563877</v>
      </c>
      <c r="F311" s="67">
        <f>(SUMIFS('Safeguard facility data'!BF$4:BF$312,'Safeguard facility data'!$A$4:$A$312,$A311,'Safeguard facility data'!BF$4:BF$312,"&gt;0"))-(SUMIFS('Safeguard facility data'!BM$4:BM$312,'Safeguard facility data'!$A$4:$A$312,$A311,'Safeguard facility data'!BM$4:BM$312,"&gt;0"))</f>
        <v>55356</v>
      </c>
      <c r="G311" s="67"/>
      <c r="H311" s="67"/>
      <c r="I311" s="67"/>
      <c r="J311" s="67"/>
      <c r="K311" s="67"/>
      <c r="L311" s="67"/>
      <c r="M311" s="67"/>
      <c r="N311" s="67"/>
      <c r="O311" s="67"/>
      <c r="P311" s="67"/>
      <c r="Q311" s="67"/>
    </row>
  </sheetData>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outlinePr summaryBelow="0" summaryRight="0"/>
  </sheetPr>
  <dimension ref="A1:S181"/>
  <sheetViews>
    <sheetView workbookViewId="0">
      <pane ySplit="2" topLeftCell="A3" activePane="bottomLeft" state="frozen"/>
      <selection pane="bottomLeft" activeCell="H17" sqref="H17"/>
    </sheetView>
  </sheetViews>
  <sheetFormatPr defaultColWidth="14.453125" defaultRowHeight="15" customHeight="1"/>
  <cols>
    <col min="1" max="1" width="29.26953125" customWidth="1"/>
    <col min="7" max="7" width="14.453125" style="215"/>
  </cols>
  <sheetData>
    <row r="1" spans="1:19">
      <c r="A1" s="8" t="s">
        <v>908</v>
      </c>
      <c r="B1" s="8" t="s">
        <v>603</v>
      </c>
      <c r="C1" s="8" t="s">
        <v>604</v>
      </c>
      <c r="D1" s="8" t="s">
        <v>605</v>
      </c>
      <c r="E1" s="8" t="s">
        <v>606</v>
      </c>
      <c r="F1" s="8" t="s">
        <v>607</v>
      </c>
      <c r="G1" s="51" t="s">
        <v>2092</v>
      </c>
      <c r="H1" s="8"/>
      <c r="I1" s="8"/>
      <c r="J1" s="8"/>
      <c r="K1" s="8"/>
      <c r="L1" s="8"/>
      <c r="M1" s="8"/>
      <c r="N1" s="8"/>
      <c r="O1" s="8"/>
      <c r="P1" s="8"/>
      <c r="Q1" s="8"/>
      <c r="R1" s="8"/>
      <c r="S1" s="8"/>
    </row>
    <row r="2" spans="1:19">
      <c r="A2" s="8" t="s">
        <v>922</v>
      </c>
      <c r="B2" s="61">
        <f t="shared" ref="B2:F2" si="0">SUM(B3:B181)</f>
        <v>52179724</v>
      </c>
      <c r="C2" s="61">
        <f t="shared" si="0"/>
        <v>59690595</v>
      </c>
      <c r="D2" s="61">
        <f t="shared" si="0"/>
        <v>56656780</v>
      </c>
      <c r="E2" s="61">
        <f t="shared" si="0"/>
        <v>62658900</v>
      </c>
      <c r="F2" s="61">
        <f t="shared" si="0"/>
        <v>58384477</v>
      </c>
      <c r="G2" s="61">
        <f>SUM(B2:F2)</f>
        <v>289570476</v>
      </c>
      <c r="H2" s="61"/>
      <c r="I2" s="61"/>
      <c r="J2" s="61"/>
      <c r="K2" s="61"/>
      <c r="L2" s="61"/>
      <c r="M2" s="61"/>
      <c r="N2" s="61"/>
      <c r="O2" s="61"/>
      <c r="P2" s="61"/>
      <c r="Q2" s="61"/>
      <c r="R2" s="61"/>
      <c r="S2" s="61"/>
    </row>
    <row r="3" spans="1:19">
      <c r="A3" s="54" t="s">
        <v>29</v>
      </c>
      <c r="B3" s="67">
        <f>(SUMIFS('Safeguard facility data'!BB$4:BB$312,'Safeguard facility data'!$Q$4:$Q$312,$A3,'Safeguard facility data'!BB$4:BB$312,"&gt;0"))-(SUMIFS('Safeguard facility data'!BI$4:BI$312,'Safeguard facility data'!$Q$4:$Q$312,$A3,'Safeguard facility data'!BI$4:BI$312,"&gt;0"))</f>
        <v>21875749</v>
      </c>
      <c r="C3" s="67">
        <f>(SUMIFS('Safeguard facility data'!BC$4:BC$312,'Safeguard facility data'!$Q$4:$Q$312,$A3,'Safeguard facility data'!BC$4:BC$312,"&gt;0"))-(SUMIFS('Safeguard facility data'!BJ$4:BJ$312,'Safeguard facility data'!$Q$4:$Q$312,$A3,'Safeguard facility data'!BJ$4:BJ$312,"&gt;0"))</f>
        <v>22177713</v>
      </c>
      <c r="D3" s="67">
        <f>(SUMIFS('Safeguard facility data'!BD$4:BD$312,'Safeguard facility data'!$Q$4:$Q$312,$A3,'Safeguard facility data'!BD$4:BD$312,"&gt;0"))-(SUMIFS('Safeguard facility data'!BK$4:BK$312,'Safeguard facility data'!$Q$4:$Q$312,$A3,'Safeguard facility data'!BK$4:BK$312,"&gt;0"))</f>
        <v>25636842</v>
      </c>
      <c r="E3" s="67">
        <f>(SUMIFS('Safeguard facility data'!BE$4:BE$312,'Safeguard facility data'!$Q$4:$Q$312,$A3,'Safeguard facility data'!BE$4:BE$312,"&gt;0"))-(SUMIFS('Safeguard facility data'!BL$4:BL$312,'Safeguard facility data'!$Q$4:$Q$312,$A3,'Safeguard facility data'!BL$4:BL$312,"&gt;0"))</f>
        <v>26856132</v>
      </c>
      <c r="F3" s="67">
        <f>(SUMIFS('Safeguard facility data'!BF$4:BF$312,'Safeguard facility data'!$Q$4:$Q$312,$A3,'Safeguard facility data'!BF$4:BF$312,"&gt;0"))-(SUMIFS('Safeguard facility data'!BM$4:BM$312,'Safeguard facility data'!$Q$4:$Q$312,$A3,'Safeguard facility data'!BM$4:BM$312,"&gt;0"))</f>
        <v>18822614</v>
      </c>
      <c r="G3" s="61">
        <f t="shared" ref="G3" si="1">SUM(B3:F3)</f>
        <v>115369050</v>
      </c>
      <c r="H3" s="67"/>
      <c r="I3" s="67"/>
      <c r="J3" s="67"/>
      <c r="K3" s="67"/>
      <c r="L3" s="67"/>
      <c r="M3" s="67"/>
      <c r="N3" s="67"/>
      <c r="O3" s="67"/>
      <c r="P3" s="67"/>
      <c r="Q3" s="67"/>
      <c r="R3" s="67"/>
      <c r="S3" s="67"/>
    </row>
    <row r="4" spans="1:19">
      <c r="A4" s="54" t="s">
        <v>121</v>
      </c>
      <c r="B4" s="67">
        <f>(SUMIFS('Safeguard facility data'!BB$4:BB$312,'Safeguard facility data'!$Q$4:$Q$312,$A4,'Safeguard facility data'!BB$4:BB$312,"&gt;0"))-(SUMIFS('Safeguard facility data'!BI$4:BI$312,'Safeguard facility data'!$Q$4:$Q$312,$A4,'Safeguard facility data'!BI$4:BI$312,"&gt;0"))</f>
        <v>6780175</v>
      </c>
      <c r="C4" s="67">
        <f>(SUMIFS('Safeguard facility data'!BC$4:BC$312,'Safeguard facility data'!$Q$4:$Q$312,$A4,'Safeguard facility data'!BC$4:BC$312,"&gt;0"))-(SUMIFS('Safeguard facility data'!BJ$4:BJ$312,'Safeguard facility data'!$Q$4:$Q$312,$A4,'Safeguard facility data'!BJ$4:BJ$312,"&gt;0"))</f>
        <v>16501161</v>
      </c>
      <c r="D4" s="67">
        <f>(SUMIFS('Safeguard facility data'!BD$4:BD$312,'Safeguard facility data'!$Q$4:$Q$312,$A4,'Safeguard facility data'!BD$4:BD$312,"&gt;0"))-(SUMIFS('Safeguard facility data'!BK$4:BK$312,'Safeguard facility data'!$Q$4:$Q$312,$A4,'Safeguard facility data'!BK$4:BK$312,"&gt;0"))</f>
        <v>8637215</v>
      </c>
      <c r="E4" s="67">
        <f>(SUMIFS('Safeguard facility data'!BE$4:BE$312,'Safeguard facility data'!$Q$4:$Q$312,$A4,'Safeguard facility data'!BE$4:BE$312,"&gt;0"))-(SUMIFS('Safeguard facility data'!BL$4:BL$312,'Safeguard facility data'!$Q$4:$Q$312,$A4,'Safeguard facility data'!BL$4:BL$312,"&gt;0"))</f>
        <v>12138606</v>
      </c>
      <c r="F4" s="67">
        <f>(SUMIFS('Safeguard facility data'!BF$4:BF$312,'Safeguard facility data'!$Q$4:$Q$312,$A4,'Safeguard facility data'!BF$4:BF$312,"&gt;0"))-(SUMIFS('Safeguard facility data'!BM$4:BM$312,'Safeguard facility data'!$Q$4:$Q$312,$A4,'Safeguard facility data'!BM$4:BM$312,"&gt;0"))</f>
        <v>11418473</v>
      </c>
      <c r="G4" s="61">
        <f t="shared" ref="G4:G35" si="2">SUM(B4:F4)</f>
        <v>55475630</v>
      </c>
      <c r="H4" s="67"/>
      <c r="I4" s="67"/>
      <c r="J4" s="67"/>
      <c r="K4" s="67"/>
      <c r="L4" s="67"/>
      <c r="M4" s="67"/>
      <c r="N4" s="67"/>
      <c r="O4" s="67"/>
      <c r="P4" s="67"/>
      <c r="Q4" s="67"/>
      <c r="R4" s="67"/>
      <c r="S4" s="67"/>
    </row>
    <row r="5" spans="1:19">
      <c r="A5" s="54" t="s">
        <v>131</v>
      </c>
      <c r="B5" s="67">
        <f>(SUMIFS('Safeguard facility data'!BB$4:BB$312,'Safeguard facility data'!$Q$4:$Q$312,$A5,'Safeguard facility data'!BB$4:BB$312,"&gt;0"))-(SUMIFS('Safeguard facility data'!BI$4:BI$312,'Safeguard facility data'!$Q$4:$Q$312,$A5,'Safeguard facility data'!BI$4:BI$312,"&gt;0"))</f>
        <v>5051631</v>
      </c>
      <c r="C5" s="67">
        <f>(SUMIFS('Safeguard facility data'!BC$4:BC$312,'Safeguard facility data'!$Q$4:$Q$312,$A5,'Safeguard facility data'!BC$4:BC$312,"&gt;0"))-(SUMIFS('Safeguard facility data'!BJ$4:BJ$312,'Safeguard facility data'!$Q$4:$Q$312,$A5,'Safeguard facility data'!BJ$4:BJ$312,"&gt;0"))</f>
        <v>4871407</v>
      </c>
      <c r="D5" s="67">
        <f>(SUMIFS('Safeguard facility data'!BD$4:BD$312,'Safeguard facility data'!$Q$4:$Q$312,$A5,'Safeguard facility data'!BD$4:BD$312,"&gt;0"))-(SUMIFS('Safeguard facility data'!BK$4:BK$312,'Safeguard facility data'!$Q$4:$Q$312,$A5,'Safeguard facility data'!BK$4:BK$312,"&gt;0"))</f>
        <v>5049701</v>
      </c>
      <c r="E5" s="67">
        <f>(SUMIFS('Safeguard facility data'!BE$4:BE$312,'Safeguard facility data'!$Q$4:$Q$312,$A5,'Safeguard facility data'!BE$4:BE$312,"&gt;0"))-(SUMIFS('Safeguard facility data'!BL$4:BL$312,'Safeguard facility data'!$Q$4:$Q$312,$A5,'Safeguard facility data'!BL$4:BL$312,"&gt;0"))</f>
        <v>5516571</v>
      </c>
      <c r="F5" s="67">
        <f>(SUMIFS('Safeguard facility data'!BF$4:BF$312,'Safeguard facility data'!$Q$4:$Q$312,$A5,'Safeguard facility data'!BF$4:BF$312,"&gt;0"))-(SUMIFS('Safeguard facility data'!BM$4:BM$312,'Safeguard facility data'!$Q$4:$Q$312,$A5,'Safeguard facility data'!BM$4:BM$312,"&gt;0"))</f>
        <v>5373659</v>
      </c>
      <c r="G5" s="61">
        <f t="shared" si="2"/>
        <v>25862969</v>
      </c>
      <c r="H5" s="67"/>
      <c r="I5" s="67"/>
      <c r="J5" s="67"/>
      <c r="K5" s="67"/>
      <c r="L5" s="67"/>
      <c r="M5" s="67"/>
      <c r="N5" s="67"/>
      <c r="O5" s="67"/>
      <c r="P5" s="67"/>
      <c r="Q5" s="67"/>
      <c r="R5" s="67"/>
      <c r="S5" s="67"/>
    </row>
    <row r="6" spans="1:19">
      <c r="A6" s="54" t="s">
        <v>287</v>
      </c>
      <c r="B6" s="67">
        <f>(SUMIFS('Safeguard facility data'!BB$4:BB$312,'Safeguard facility data'!$Q$4:$Q$312,$A6,'Safeguard facility data'!BB$4:BB$312,"&gt;0"))-(SUMIFS('Safeguard facility data'!BI$4:BI$312,'Safeguard facility data'!$Q$4:$Q$312,$A6,'Safeguard facility data'!BI$4:BI$312,"&gt;0"))</f>
        <v>2718275</v>
      </c>
      <c r="C6" s="67">
        <f>(SUMIFS('Safeguard facility data'!BC$4:BC$312,'Safeguard facility data'!$Q$4:$Q$312,$A6,'Safeguard facility data'!BC$4:BC$312,"&gt;0"))-(SUMIFS('Safeguard facility data'!BJ$4:BJ$312,'Safeguard facility data'!$Q$4:$Q$312,$A6,'Safeguard facility data'!BJ$4:BJ$312,"&gt;0"))</f>
        <v>2718275</v>
      </c>
      <c r="D6" s="67">
        <f>(SUMIFS('Safeguard facility data'!BD$4:BD$312,'Safeguard facility data'!$Q$4:$Q$312,$A6,'Safeguard facility data'!BD$4:BD$312,"&gt;0"))-(SUMIFS('Safeguard facility data'!BK$4:BK$312,'Safeguard facility data'!$Q$4:$Q$312,$A6,'Safeguard facility data'!BK$4:BK$312,"&gt;0"))</f>
        <v>2604871</v>
      </c>
      <c r="E6" s="67">
        <f>(SUMIFS('Safeguard facility data'!BE$4:BE$312,'Safeguard facility data'!$Q$4:$Q$312,$A6,'Safeguard facility data'!BE$4:BE$312,"&gt;0"))-(SUMIFS('Safeguard facility data'!BL$4:BL$312,'Safeguard facility data'!$Q$4:$Q$312,$A6,'Safeguard facility data'!BL$4:BL$312,"&gt;0"))</f>
        <v>2607647</v>
      </c>
      <c r="F6" s="67">
        <f>(SUMIFS('Safeguard facility data'!BF$4:BF$312,'Safeguard facility data'!$Q$4:$Q$312,$A6,'Safeguard facility data'!BF$4:BF$312,"&gt;0"))-(SUMIFS('Safeguard facility data'!BM$4:BM$312,'Safeguard facility data'!$Q$4:$Q$312,$A6,'Safeguard facility data'!BM$4:BM$312,"&gt;0"))</f>
        <v>2546454</v>
      </c>
      <c r="G6" s="61">
        <f t="shared" si="2"/>
        <v>13195522</v>
      </c>
      <c r="H6" s="67"/>
      <c r="I6" s="67"/>
      <c r="J6" s="67"/>
      <c r="K6" s="67"/>
      <c r="L6" s="67"/>
      <c r="M6" s="67"/>
      <c r="N6" s="67"/>
      <c r="O6" s="67"/>
      <c r="P6" s="67"/>
      <c r="Q6" s="67"/>
      <c r="R6" s="67"/>
      <c r="S6" s="67"/>
    </row>
    <row r="7" spans="1:19">
      <c r="A7" s="54" t="s">
        <v>64</v>
      </c>
      <c r="B7" s="67">
        <f>(SUMIFS('Safeguard facility data'!BB$4:BB$312,'Safeguard facility data'!$Q$4:$Q$312,$A7,'Safeguard facility data'!BB$4:BB$312,"&gt;0"))-(SUMIFS('Safeguard facility data'!BI$4:BI$312,'Safeguard facility data'!$Q$4:$Q$312,$A7,'Safeguard facility data'!BI$4:BI$312,"&gt;0"))</f>
        <v>1831217</v>
      </c>
      <c r="C7" s="67">
        <f>(SUMIFS('Safeguard facility data'!BC$4:BC$312,'Safeguard facility data'!$Q$4:$Q$312,$A7,'Safeguard facility data'!BC$4:BC$312,"&gt;0"))-(SUMIFS('Safeguard facility data'!BJ$4:BJ$312,'Safeguard facility data'!$Q$4:$Q$312,$A7,'Safeguard facility data'!BJ$4:BJ$312,"&gt;0"))</f>
        <v>1906680</v>
      </c>
      <c r="D7" s="67">
        <f>(SUMIFS('Safeguard facility data'!BD$4:BD$312,'Safeguard facility data'!$Q$4:$Q$312,$A7,'Safeguard facility data'!BD$4:BD$312,"&gt;0"))-(SUMIFS('Safeguard facility data'!BK$4:BK$312,'Safeguard facility data'!$Q$4:$Q$312,$A7,'Safeguard facility data'!BK$4:BK$312,"&gt;0"))</f>
        <v>1841517</v>
      </c>
      <c r="E7" s="67">
        <f>(SUMIFS('Safeguard facility data'!BE$4:BE$312,'Safeguard facility data'!$Q$4:$Q$312,$A7,'Safeguard facility data'!BE$4:BE$312,"&gt;0"))-(SUMIFS('Safeguard facility data'!BL$4:BL$312,'Safeguard facility data'!$Q$4:$Q$312,$A7,'Safeguard facility data'!BL$4:BL$312,"&gt;0"))</f>
        <v>2024099</v>
      </c>
      <c r="F7" s="67">
        <f>(SUMIFS('Safeguard facility data'!BF$4:BF$312,'Safeguard facility data'!$Q$4:$Q$312,$A7,'Safeguard facility data'!BF$4:BF$312,"&gt;0"))-(SUMIFS('Safeguard facility data'!BM$4:BM$312,'Safeguard facility data'!$Q$4:$Q$312,$A7,'Safeguard facility data'!BM$4:BM$312,"&gt;0"))</f>
        <v>1921452</v>
      </c>
      <c r="G7" s="61">
        <f t="shared" si="2"/>
        <v>9524965</v>
      </c>
      <c r="H7" s="67"/>
      <c r="I7" s="67"/>
      <c r="J7" s="67"/>
      <c r="K7" s="67"/>
      <c r="L7" s="67"/>
      <c r="M7" s="67"/>
      <c r="N7" s="67"/>
      <c r="O7" s="67"/>
      <c r="P7" s="67"/>
      <c r="Q7" s="67"/>
      <c r="R7" s="67"/>
      <c r="S7" s="67"/>
    </row>
    <row r="8" spans="1:19">
      <c r="A8" s="54" t="s">
        <v>176</v>
      </c>
      <c r="B8" s="67">
        <f>(SUMIFS('Safeguard facility data'!BB$4:BB$312,'Safeguard facility data'!$Q$4:$Q$312,$A8,'Safeguard facility data'!BB$4:BB$312,"&gt;0"))-(SUMIFS('Safeguard facility data'!BI$4:BI$312,'Safeguard facility data'!$Q$4:$Q$312,$A8,'Safeguard facility data'!BI$4:BI$312,"&gt;0"))</f>
        <v>1506236</v>
      </c>
      <c r="C8" s="67">
        <f>(SUMIFS('Safeguard facility data'!BC$4:BC$312,'Safeguard facility data'!$Q$4:$Q$312,$A8,'Safeguard facility data'!BC$4:BC$312,"&gt;0"))-(SUMIFS('Safeguard facility data'!BJ$4:BJ$312,'Safeguard facility data'!$Q$4:$Q$312,$A8,'Safeguard facility data'!BJ$4:BJ$312,"&gt;0"))</f>
        <v>1505553</v>
      </c>
      <c r="D8" s="67">
        <f>(SUMIFS('Safeguard facility data'!BD$4:BD$312,'Safeguard facility data'!$Q$4:$Q$312,$A8,'Safeguard facility data'!BD$4:BD$312,"&gt;0"))-(SUMIFS('Safeguard facility data'!BK$4:BK$312,'Safeguard facility data'!$Q$4:$Q$312,$A8,'Safeguard facility data'!BK$4:BK$312,"&gt;0"))</f>
        <v>1502192</v>
      </c>
      <c r="E8" s="67">
        <f>(SUMIFS('Safeguard facility data'!BE$4:BE$312,'Safeguard facility data'!$Q$4:$Q$312,$A8,'Safeguard facility data'!BE$4:BE$312,"&gt;0"))-(SUMIFS('Safeguard facility data'!BL$4:BL$312,'Safeguard facility data'!$Q$4:$Q$312,$A8,'Safeguard facility data'!BL$4:BL$312,"&gt;0"))</f>
        <v>1515280</v>
      </c>
      <c r="F8" s="67">
        <f>(SUMIFS('Safeguard facility data'!BF$4:BF$312,'Safeguard facility data'!$Q$4:$Q$312,$A8,'Safeguard facility data'!BF$4:BF$312,"&gt;0"))-(SUMIFS('Safeguard facility data'!BM$4:BM$312,'Safeguard facility data'!$Q$4:$Q$312,$A8,'Safeguard facility data'!BM$4:BM$312,"&gt;0"))</f>
        <v>1496211</v>
      </c>
      <c r="G8" s="61">
        <f t="shared" si="2"/>
        <v>7525472</v>
      </c>
      <c r="H8" s="67"/>
      <c r="I8" s="67"/>
      <c r="J8" s="67"/>
      <c r="K8" s="67"/>
      <c r="L8" s="67"/>
      <c r="M8" s="67"/>
      <c r="N8" s="67"/>
      <c r="O8" s="67"/>
      <c r="P8" s="67"/>
      <c r="Q8" s="67"/>
      <c r="R8" s="67"/>
      <c r="S8" s="67"/>
    </row>
    <row r="9" spans="1:19">
      <c r="A9" s="54" t="s">
        <v>159</v>
      </c>
      <c r="B9" s="67">
        <f>(SUMIFS('Safeguard facility data'!BB$4:BB$312,'Safeguard facility data'!$Q$4:$Q$312,$A9,'Safeguard facility data'!BB$4:BB$312,"&gt;0"))-(SUMIFS('Safeguard facility data'!BI$4:BI$312,'Safeguard facility data'!$Q$4:$Q$312,$A9,'Safeguard facility data'!BI$4:BI$312,"&gt;0"))</f>
        <v>2408416</v>
      </c>
      <c r="C9" s="67">
        <f>(SUMIFS('Safeguard facility data'!BC$4:BC$312,'Safeguard facility data'!$Q$4:$Q$312,$A9,'Safeguard facility data'!BC$4:BC$312,"&gt;0"))-(SUMIFS('Safeguard facility data'!BJ$4:BJ$312,'Safeguard facility data'!$Q$4:$Q$312,$A9,'Safeguard facility data'!BJ$4:BJ$312,"&gt;0"))</f>
        <v>977189</v>
      </c>
      <c r="D9" s="67">
        <f>(SUMIFS('Safeguard facility data'!BD$4:BD$312,'Safeguard facility data'!$Q$4:$Q$312,$A9,'Safeguard facility data'!BD$4:BD$312,"&gt;0"))-(SUMIFS('Safeguard facility data'!BK$4:BK$312,'Safeguard facility data'!$Q$4:$Q$312,$A9,'Safeguard facility data'!BK$4:BK$312,"&gt;0"))</f>
        <v>1482614</v>
      </c>
      <c r="E9" s="67">
        <f>(SUMIFS('Safeguard facility data'!BE$4:BE$312,'Safeguard facility data'!$Q$4:$Q$312,$A9,'Safeguard facility data'!BE$4:BE$312,"&gt;0"))-(SUMIFS('Safeguard facility data'!BL$4:BL$312,'Safeguard facility data'!$Q$4:$Q$312,$A9,'Safeguard facility data'!BL$4:BL$312,"&gt;0"))</f>
        <v>1292478</v>
      </c>
      <c r="F9" s="67">
        <f>(SUMIFS('Safeguard facility data'!BF$4:BF$312,'Safeguard facility data'!$Q$4:$Q$312,$A9,'Safeguard facility data'!BF$4:BF$312,"&gt;0"))-(SUMIFS('Safeguard facility data'!BM$4:BM$312,'Safeguard facility data'!$Q$4:$Q$312,$A9,'Safeguard facility data'!BM$4:BM$312,"&gt;0"))</f>
        <v>726208</v>
      </c>
      <c r="G9" s="61">
        <f t="shared" si="2"/>
        <v>6886905</v>
      </c>
      <c r="H9" s="67"/>
      <c r="I9" s="67"/>
      <c r="J9" s="67"/>
      <c r="K9" s="67"/>
      <c r="L9" s="67"/>
      <c r="M9" s="67"/>
      <c r="N9" s="67"/>
      <c r="O9" s="67"/>
      <c r="P9" s="67"/>
      <c r="Q9" s="67"/>
      <c r="R9" s="67"/>
      <c r="S9" s="67"/>
    </row>
    <row r="10" spans="1:19">
      <c r="A10" s="54" t="s">
        <v>137</v>
      </c>
      <c r="B10" s="67">
        <f>(SUMIFS('Safeguard facility data'!BB$4:BB$312,'Safeguard facility data'!$Q$4:$Q$312,$A10,'Safeguard facility data'!BB$4:BB$312,"&gt;0"))-(SUMIFS('Safeguard facility data'!BI$4:BI$312,'Safeguard facility data'!$Q$4:$Q$312,$A10,'Safeguard facility data'!BI$4:BI$312,"&gt;0"))</f>
        <v>336075</v>
      </c>
      <c r="C10" s="67">
        <f>(SUMIFS('Safeguard facility data'!BC$4:BC$312,'Safeguard facility data'!$Q$4:$Q$312,$A10,'Safeguard facility data'!BC$4:BC$312,"&gt;0"))-(SUMIFS('Safeguard facility data'!BJ$4:BJ$312,'Safeguard facility data'!$Q$4:$Q$312,$A10,'Safeguard facility data'!BJ$4:BJ$312,"&gt;0"))</f>
        <v>383315</v>
      </c>
      <c r="D10" s="67">
        <f>(SUMIFS('Safeguard facility data'!BD$4:BD$312,'Safeguard facility data'!$Q$4:$Q$312,$A10,'Safeguard facility data'!BD$4:BD$312,"&gt;0"))-(SUMIFS('Safeguard facility data'!BK$4:BK$312,'Safeguard facility data'!$Q$4:$Q$312,$A10,'Safeguard facility data'!BK$4:BK$312,"&gt;0"))</f>
        <v>409096</v>
      </c>
      <c r="E10" s="67">
        <f>(SUMIFS('Safeguard facility data'!BE$4:BE$312,'Safeguard facility data'!$Q$4:$Q$312,$A10,'Safeguard facility data'!BE$4:BE$312,"&gt;0"))-(SUMIFS('Safeguard facility data'!BL$4:BL$312,'Safeguard facility data'!$Q$4:$Q$312,$A10,'Safeguard facility data'!BL$4:BL$312,"&gt;0"))</f>
        <v>1344012</v>
      </c>
      <c r="F10" s="67">
        <f>(SUMIFS('Safeguard facility data'!BF$4:BF$312,'Safeguard facility data'!$Q$4:$Q$312,$A10,'Safeguard facility data'!BF$4:BF$312,"&gt;0"))-(SUMIFS('Safeguard facility data'!BM$4:BM$312,'Safeguard facility data'!$Q$4:$Q$312,$A10,'Safeguard facility data'!BM$4:BM$312,"&gt;0"))</f>
        <v>2226945</v>
      </c>
      <c r="G10" s="61">
        <f t="shared" si="2"/>
        <v>4699443</v>
      </c>
      <c r="H10" s="67"/>
      <c r="I10" s="67"/>
      <c r="J10" s="67"/>
      <c r="K10" s="67"/>
      <c r="L10" s="67"/>
      <c r="M10" s="67"/>
      <c r="N10" s="67"/>
      <c r="O10" s="67"/>
      <c r="P10" s="67"/>
      <c r="Q10" s="67"/>
      <c r="R10" s="67"/>
      <c r="S10" s="67"/>
    </row>
    <row r="11" spans="1:19">
      <c r="A11" s="54" t="s">
        <v>110</v>
      </c>
      <c r="B11" s="67">
        <f>(SUMIFS('Safeguard facility data'!BB$4:BB$312,'Safeguard facility data'!$Q$4:$Q$312,$A11,'Safeguard facility data'!BB$4:BB$312,"&gt;0"))-(SUMIFS('Safeguard facility data'!BI$4:BI$312,'Safeguard facility data'!$Q$4:$Q$312,$A11,'Safeguard facility data'!BI$4:BI$312,"&gt;0"))</f>
        <v>757264</v>
      </c>
      <c r="C11" s="67">
        <f>(SUMIFS('Safeguard facility data'!BC$4:BC$312,'Safeguard facility data'!$Q$4:$Q$312,$A11,'Safeguard facility data'!BC$4:BC$312,"&gt;0"))-(SUMIFS('Safeguard facility data'!BJ$4:BJ$312,'Safeguard facility data'!$Q$4:$Q$312,$A11,'Safeguard facility data'!BJ$4:BJ$312,"&gt;0"))</f>
        <v>925368</v>
      </c>
      <c r="D11" s="67">
        <f>(SUMIFS('Safeguard facility data'!BD$4:BD$312,'Safeguard facility data'!$Q$4:$Q$312,$A11,'Safeguard facility data'!BD$4:BD$312,"&gt;0"))-(SUMIFS('Safeguard facility data'!BK$4:BK$312,'Safeguard facility data'!$Q$4:$Q$312,$A11,'Safeguard facility data'!BK$4:BK$312,"&gt;0"))</f>
        <v>1136253</v>
      </c>
      <c r="E11" s="67">
        <f>(SUMIFS('Safeguard facility data'!BE$4:BE$312,'Safeguard facility data'!$Q$4:$Q$312,$A11,'Safeguard facility data'!BE$4:BE$312,"&gt;0"))-(SUMIFS('Safeguard facility data'!BL$4:BL$312,'Safeguard facility data'!$Q$4:$Q$312,$A11,'Safeguard facility data'!BL$4:BL$312,"&gt;0"))</f>
        <v>950772</v>
      </c>
      <c r="F11" s="67">
        <f>(SUMIFS('Safeguard facility data'!BF$4:BF$312,'Safeguard facility data'!$Q$4:$Q$312,$A11,'Safeguard facility data'!BF$4:BF$312,"&gt;0"))-(SUMIFS('Safeguard facility data'!BM$4:BM$312,'Safeguard facility data'!$Q$4:$Q$312,$A11,'Safeguard facility data'!BM$4:BM$312,"&gt;0"))</f>
        <v>748136</v>
      </c>
      <c r="G11" s="61">
        <f t="shared" si="2"/>
        <v>4517793</v>
      </c>
      <c r="H11" s="67"/>
      <c r="I11" s="67"/>
      <c r="J11" s="67"/>
      <c r="K11" s="67"/>
      <c r="L11" s="67"/>
      <c r="M11" s="67"/>
      <c r="N11" s="67"/>
      <c r="O11" s="67"/>
      <c r="P11" s="67"/>
      <c r="Q11" s="67"/>
      <c r="R11" s="67"/>
      <c r="S11" s="67"/>
    </row>
    <row r="12" spans="1:19">
      <c r="A12" s="54" t="s">
        <v>139</v>
      </c>
      <c r="B12" s="67">
        <f>(SUMIFS('Safeguard facility data'!BB$4:BB$312,'Safeguard facility data'!$Q$4:$Q$312,$A12,'Safeguard facility data'!BB$4:BB$312,"&gt;0"))-(SUMIFS('Safeguard facility data'!BI$4:BI$312,'Safeguard facility data'!$Q$4:$Q$312,$A12,'Safeguard facility data'!BI$4:BI$312,"&gt;0"))</f>
        <v>1423194</v>
      </c>
      <c r="C12" s="67">
        <f>(SUMIFS('Safeguard facility data'!BC$4:BC$312,'Safeguard facility data'!$Q$4:$Q$312,$A12,'Safeguard facility data'!BC$4:BC$312,"&gt;0"))-(SUMIFS('Safeguard facility data'!BJ$4:BJ$312,'Safeguard facility data'!$Q$4:$Q$312,$A12,'Safeguard facility data'!BJ$4:BJ$312,"&gt;0"))</f>
        <v>1227532</v>
      </c>
      <c r="D12" s="67">
        <f>(SUMIFS('Safeguard facility data'!BD$4:BD$312,'Safeguard facility data'!$Q$4:$Q$312,$A12,'Safeguard facility data'!BD$4:BD$312,"&gt;0"))-(SUMIFS('Safeguard facility data'!BK$4:BK$312,'Safeguard facility data'!$Q$4:$Q$312,$A12,'Safeguard facility data'!BK$4:BK$312,"&gt;0"))</f>
        <v>1083243</v>
      </c>
      <c r="E12" s="67">
        <f>(SUMIFS('Safeguard facility data'!BE$4:BE$312,'Safeguard facility data'!$Q$4:$Q$312,$A12,'Safeguard facility data'!BE$4:BE$312,"&gt;0"))-(SUMIFS('Safeguard facility data'!BL$4:BL$312,'Safeguard facility data'!$Q$4:$Q$312,$A12,'Safeguard facility data'!BL$4:BL$312,"&gt;0"))</f>
        <v>563493</v>
      </c>
      <c r="F12" s="67">
        <f>(SUMIFS('Safeguard facility data'!BF$4:BF$312,'Safeguard facility data'!$Q$4:$Q$312,$A12,'Safeguard facility data'!BF$4:BF$312,"&gt;0"))-(SUMIFS('Safeguard facility data'!BM$4:BM$312,'Safeguard facility data'!$Q$4:$Q$312,$A12,'Safeguard facility data'!BM$4:BM$312,"&gt;0"))</f>
        <v>139234</v>
      </c>
      <c r="G12" s="61">
        <f t="shared" si="2"/>
        <v>4436696</v>
      </c>
      <c r="H12" s="67"/>
      <c r="I12" s="67"/>
      <c r="J12" s="67"/>
      <c r="K12" s="67"/>
      <c r="L12" s="67"/>
      <c r="M12" s="67"/>
      <c r="N12" s="67"/>
      <c r="O12" s="67"/>
      <c r="P12" s="67"/>
      <c r="Q12" s="67"/>
      <c r="R12" s="67"/>
      <c r="S12" s="67"/>
    </row>
    <row r="13" spans="1:19">
      <c r="A13" s="54" t="s">
        <v>123</v>
      </c>
      <c r="B13" s="67">
        <f>(SUMIFS('Safeguard facility data'!BB$4:BB$312,'Safeguard facility data'!$Q$4:$Q$312,$A13,'Safeguard facility data'!BB$4:BB$312,"&gt;0"))-(SUMIFS('Safeguard facility data'!BI$4:BI$312,'Safeguard facility data'!$Q$4:$Q$312,$A13,'Safeguard facility data'!BI$4:BI$312,"&gt;0"))</f>
        <v>940297</v>
      </c>
      <c r="C13" s="67">
        <f>(SUMIFS('Safeguard facility data'!BC$4:BC$312,'Safeguard facility data'!$Q$4:$Q$312,$A13,'Safeguard facility data'!BC$4:BC$312,"&gt;0"))-(SUMIFS('Safeguard facility data'!BJ$4:BJ$312,'Safeguard facility data'!$Q$4:$Q$312,$A13,'Safeguard facility data'!BJ$4:BJ$312,"&gt;0"))</f>
        <v>889092</v>
      </c>
      <c r="D13" s="67">
        <f>(SUMIFS('Safeguard facility data'!BD$4:BD$312,'Safeguard facility data'!$Q$4:$Q$312,$A13,'Safeguard facility data'!BD$4:BD$312,"&gt;0"))-(SUMIFS('Safeguard facility data'!BK$4:BK$312,'Safeguard facility data'!$Q$4:$Q$312,$A13,'Safeguard facility data'!BK$4:BK$312,"&gt;0"))</f>
        <v>919620</v>
      </c>
      <c r="E13" s="67">
        <f>(SUMIFS('Safeguard facility data'!BE$4:BE$312,'Safeguard facility data'!$Q$4:$Q$312,$A13,'Safeguard facility data'!BE$4:BE$312,"&gt;0"))-(SUMIFS('Safeguard facility data'!BL$4:BL$312,'Safeguard facility data'!$Q$4:$Q$312,$A13,'Safeguard facility data'!BL$4:BL$312,"&gt;0"))</f>
        <v>702304</v>
      </c>
      <c r="F13" s="67">
        <f>(SUMIFS('Safeguard facility data'!BF$4:BF$312,'Safeguard facility data'!$Q$4:$Q$312,$A13,'Safeguard facility data'!BF$4:BF$312,"&gt;0"))-(SUMIFS('Safeguard facility data'!BM$4:BM$312,'Safeguard facility data'!$Q$4:$Q$312,$A13,'Safeguard facility data'!BM$4:BM$312,"&gt;0"))</f>
        <v>979126</v>
      </c>
      <c r="G13" s="61">
        <f t="shared" si="2"/>
        <v>4430439</v>
      </c>
      <c r="H13" s="67"/>
      <c r="I13" s="67"/>
      <c r="J13" s="67"/>
      <c r="K13" s="67"/>
      <c r="L13" s="67"/>
      <c r="M13" s="67"/>
      <c r="N13" s="67"/>
      <c r="O13" s="67"/>
      <c r="P13" s="67"/>
      <c r="Q13" s="67"/>
      <c r="R13" s="67"/>
      <c r="S13" s="67"/>
    </row>
    <row r="14" spans="1:19">
      <c r="A14" s="54" t="s">
        <v>16</v>
      </c>
      <c r="B14" s="67">
        <f>(SUMIFS('Safeguard facility data'!BB$4:BB$312,'Safeguard facility data'!$Q$4:$Q$312,$A14,'Safeguard facility data'!BB$4:BB$312,"&gt;0"))-(SUMIFS('Safeguard facility data'!BI$4:BI$312,'Safeguard facility data'!$Q$4:$Q$312,$A14,'Safeguard facility data'!BI$4:BI$312,"&gt;0"))</f>
        <v>436101</v>
      </c>
      <c r="C14" s="67">
        <f>(SUMIFS('Safeguard facility data'!BC$4:BC$312,'Safeguard facility data'!$Q$4:$Q$312,$A14,'Safeguard facility data'!BC$4:BC$312,"&gt;0"))-(SUMIFS('Safeguard facility data'!BJ$4:BJ$312,'Safeguard facility data'!$Q$4:$Q$312,$A14,'Safeguard facility data'!BJ$4:BJ$312,"&gt;0"))</f>
        <v>422736</v>
      </c>
      <c r="D14" s="67">
        <f>(SUMIFS('Safeguard facility data'!BD$4:BD$312,'Safeguard facility data'!$Q$4:$Q$312,$A14,'Safeguard facility data'!BD$4:BD$312,"&gt;0"))-(SUMIFS('Safeguard facility data'!BK$4:BK$312,'Safeguard facility data'!$Q$4:$Q$312,$A14,'Safeguard facility data'!BK$4:BK$312,"&gt;0"))</f>
        <v>717692</v>
      </c>
      <c r="E14" s="67">
        <f>(SUMIFS('Safeguard facility data'!BE$4:BE$312,'Safeguard facility data'!$Q$4:$Q$312,$A14,'Safeguard facility data'!BE$4:BE$312,"&gt;0"))-(SUMIFS('Safeguard facility data'!BL$4:BL$312,'Safeguard facility data'!$Q$4:$Q$312,$A14,'Safeguard facility data'!BL$4:BL$312,"&gt;0"))</f>
        <v>488839</v>
      </c>
      <c r="F14" s="67">
        <f>(SUMIFS('Safeguard facility data'!BF$4:BF$312,'Safeguard facility data'!$Q$4:$Q$312,$A14,'Safeguard facility data'!BF$4:BF$312,"&gt;0"))-(SUMIFS('Safeguard facility data'!BM$4:BM$312,'Safeguard facility data'!$Q$4:$Q$312,$A14,'Safeguard facility data'!BM$4:BM$312,"&gt;0"))</f>
        <v>2349484</v>
      </c>
      <c r="G14" s="61">
        <f t="shared" si="2"/>
        <v>4414852</v>
      </c>
      <c r="H14" s="67"/>
      <c r="I14" s="67"/>
      <c r="J14" s="67"/>
      <c r="K14" s="67"/>
      <c r="L14" s="67"/>
      <c r="M14" s="67"/>
      <c r="N14" s="67"/>
      <c r="O14" s="67"/>
      <c r="P14" s="67"/>
      <c r="Q14" s="67"/>
      <c r="R14" s="67"/>
      <c r="S14" s="67"/>
    </row>
    <row r="15" spans="1:19">
      <c r="A15" s="54" t="s">
        <v>125</v>
      </c>
      <c r="B15" s="67">
        <f>(SUMIFS('Safeguard facility data'!BB$4:BB$312,'Safeguard facility data'!$Q$4:$Q$312,$A15,'Safeguard facility data'!BB$4:BB$312,"&gt;0"))-(SUMIFS('Safeguard facility data'!BI$4:BI$312,'Safeguard facility data'!$Q$4:$Q$312,$A15,'Safeguard facility data'!BI$4:BI$312,"&gt;0"))</f>
        <v>982716</v>
      </c>
      <c r="C15" s="67">
        <f>(SUMIFS('Safeguard facility data'!BC$4:BC$312,'Safeguard facility data'!$Q$4:$Q$312,$A15,'Safeguard facility data'!BC$4:BC$312,"&gt;0"))-(SUMIFS('Safeguard facility data'!BJ$4:BJ$312,'Safeguard facility data'!$Q$4:$Q$312,$A15,'Safeguard facility data'!BJ$4:BJ$312,"&gt;0"))</f>
        <v>817630</v>
      </c>
      <c r="D15" s="67">
        <f>(SUMIFS('Safeguard facility data'!BD$4:BD$312,'Safeguard facility data'!$Q$4:$Q$312,$A15,'Safeguard facility data'!BD$4:BD$312,"&gt;0"))-(SUMIFS('Safeguard facility data'!BK$4:BK$312,'Safeguard facility data'!$Q$4:$Q$312,$A15,'Safeguard facility data'!BK$4:BK$312,"&gt;0"))</f>
        <v>717386</v>
      </c>
      <c r="E15" s="67">
        <f>(SUMIFS('Safeguard facility data'!BE$4:BE$312,'Safeguard facility data'!$Q$4:$Q$312,$A15,'Safeguard facility data'!BE$4:BE$312,"&gt;0"))-(SUMIFS('Safeguard facility data'!BL$4:BL$312,'Safeguard facility data'!$Q$4:$Q$312,$A15,'Safeguard facility data'!BL$4:BL$312,"&gt;0"))</f>
        <v>393519</v>
      </c>
      <c r="F15" s="67">
        <f>(SUMIFS('Safeguard facility data'!BF$4:BF$312,'Safeguard facility data'!$Q$4:$Q$312,$A15,'Safeguard facility data'!BF$4:BF$312,"&gt;0"))-(SUMIFS('Safeguard facility data'!BM$4:BM$312,'Safeguard facility data'!$Q$4:$Q$312,$A15,'Safeguard facility data'!BM$4:BM$312,"&gt;0"))</f>
        <v>997715</v>
      </c>
      <c r="G15" s="61">
        <f t="shared" si="2"/>
        <v>3908966</v>
      </c>
      <c r="H15" s="67"/>
      <c r="I15" s="67"/>
      <c r="J15" s="67"/>
      <c r="K15" s="67"/>
      <c r="L15" s="67"/>
      <c r="M15" s="67"/>
      <c r="N15" s="67"/>
      <c r="O15" s="67"/>
      <c r="P15" s="67"/>
      <c r="Q15" s="67"/>
      <c r="R15" s="67"/>
      <c r="S15" s="67"/>
    </row>
    <row r="16" spans="1:19">
      <c r="A16" s="54" t="s">
        <v>278</v>
      </c>
      <c r="B16" s="67">
        <f>(SUMIFS('Safeguard facility data'!BB$4:BB$312,'Safeguard facility data'!$Q$4:$Q$312,$A16,'Safeguard facility data'!BB$4:BB$312,"&gt;0"))-(SUMIFS('Safeguard facility data'!BI$4:BI$312,'Safeguard facility data'!$Q$4:$Q$312,$A16,'Safeguard facility data'!BI$4:BI$312,"&gt;0"))</f>
        <v>623222</v>
      </c>
      <c r="C16" s="67">
        <f>(SUMIFS('Safeguard facility data'!BC$4:BC$312,'Safeguard facility data'!$Q$4:$Q$312,$A16,'Safeguard facility data'!BC$4:BC$312,"&gt;0"))-(SUMIFS('Safeguard facility data'!BJ$4:BJ$312,'Safeguard facility data'!$Q$4:$Q$312,$A16,'Safeguard facility data'!BJ$4:BJ$312,"&gt;0"))</f>
        <v>557096</v>
      </c>
      <c r="D16" s="67">
        <f>(SUMIFS('Safeguard facility data'!BD$4:BD$312,'Safeguard facility data'!$Q$4:$Q$312,$A16,'Safeguard facility data'!BD$4:BD$312,"&gt;0"))-(SUMIFS('Safeguard facility data'!BK$4:BK$312,'Safeguard facility data'!$Q$4:$Q$312,$A16,'Safeguard facility data'!BK$4:BK$312,"&gt;0"))</f>
        <v>702603</v>
      </c>
      <c r="E16" s="67">
        <f>(SUMIFS('Safeguard facility data'!BE$4:BE$312,'Safeguard facility data'!$Q$4:$Q$312,$A16,'Safeguard facility data'!BE$4:BE$312,"&gt;0"))-(SUMIFS('Safeguard facility data'!BL$4:BL$312,'Safeguard facility data'!$Q$4:$Q$312,$A16,'Safeguard facility data'!BL$4:BL$312,"&gt;0"))</f>
        <v>738628</v>
      </c>
      <c r="F16" s="67">
        <f>(SUMIFS('Safeguard facility data'!BF$4:BF$312,'Safeguard facility data'!$Q$4:$Q$312,$A16,'Safeguard facility data'!BF$4:BF$312,"&gt;0"))-(SUMIFS('Safeguard facility data'!BM$4:BM$312,'Safeguard facility data'!$Q$4:$Q$312,$A16,'Safeguard facility data'!BM$4:BM$312,"&gt;0"))</f>
        <v>546100</v>
      </c>
      <c r="G16" s="61">
        <f t="shared" si="2"/>
        <v>3167649</v>
      </c>
      <c r="H16" s="67"/>
      <c r="I16" s="67"/>
      <c r="J16" s="67"/>
      <c r="K16" s="67"/>
      <c r="L16" s="67"/>
      <c r="M16" s="67"/>
      <c r="N16" s="67"/>
      <c r="O16" s="67"/>
      <c r="P16" s="67"/>
      <c r="Q16" s="67"/>
      <c r="R16" s="67"/>
      <c r="S16" s="67"/>
    </row>
    <row r="17" spans="1:19">
      <c r="A17" s="54" t="s">
        <v>272</v>
      </c>
      <c r="B17" s="67">
        <f>(SUMIFS('Safeguard facility data'!BB$4:BB$312,'Safeguard facility data'!$Q$4:$Q$312,$A17,'Safeguard facility data'!BB$4:BB$312,"&gt;0"))-(SUMIFS('Safeguard facility data'!BI$4:BI$312,'Safeguard facility data'!$Q$4:$Q$312,$A17,'Safeguard facility data'!BI$4:BI$312,"&gt;0"))</f>
        <v>132428</v>
      </c>
      <c r="C17" s="67">
        <f>(SUMIFS('Safeguard facility data'!BC$4:BC$312,'Safeguard facility data'!$Q$4:$Q$312,$A17,'Safeguard facility data'!BC$4:BC$312,"&gt;0"))-(SUMIFS('Safeguard facility data'!BJ$4:BJ$312,'Safeguard facility data'!$Q$4:$Q$312,$A17,'Safeguard facility data'!BJ$4:BJ$312,"&gt;0"))</f>
        <v>125959</v>
      </c>
      <c r="D17" s="67">
        <f>(SUMIFS('Safeguard facility data'!BD$4:BD$312,'Safeguard facility data'!$Q$4:$Q$312,$A17,'Safeguard facility data'!BD$4:BD$312,"&gt;0"))-(SUMIFS('Safeguard facility data'!BK$4:BK$312,'Safeguard facility data'!$Q$4:$Q$312,$A17,'Safeguard facility data'!BK$4:BK$312,"&gt;0"))</f>
        <v>223303</v>
      </c>
      <c r="E17" s="67">
        <f>(SUMIFS('Safeguard facility data'!BE$4:BE$312,'Safeguard facility data'!$Q$4:$Q$312,$A17,'Safeguard facility data'!BE$4:BE$312,"&gt;0"))-(SUMIFS('Safeguard facility data'!BL$4:BL$312,'Safeguard facility data'!$Q$4:$Q$312,$A17,'Safeguard facility data'!BL$4:BL$312,"&gt;0"))</f>
        <v>902027</v>
      </c>
      <c r="F17" s="67">
        <f>(SUMIFS('Safeguard facility data'!BF$4:BF$312,'Safeguard facility data'!$Q$4:$Q$312,$A17,'Safeguard facility data'!BF$4:BF$312,"&gt;0"))-(SUMIFS('Safeguard facility data'!BM$4:BM$312,'Safeguard facility data'!$Q$4:$Q$312,$A17,'Safeguard facility data'!BM$4:BM$312,"&gt;0"))</f>
        <v>1547374</v>
      </c>
      <c r="G17" s="61">
        <f t="shared" si="2"/>
        <v>2931091</v>
      </c>
      <c r="H17" s="67"/>
      <c r="I17" s="67"/>
      <c r="J17" s="67"/>
      <c r="K17" s="67"/>
      <c r="L17" s="67"/>
      <c r="M17" s="67"/>
      <c r="N17" s="67"/>
      <c r="O17" s="67"/>
      <c r="P17" s="67"/>
      <c r="Q17" s="67"/>
      <c r="R17" s="67"/>
      <c r="S17" s="67"/>
    </row>
    <row r="18" spans="1:19">
      <c r="A18" s="54" t="s">
        <v>228</v>
      </c>
      <c r="B18" s="67">
        <f>(SUMIFS('Safeguard facility data'!BB$4:BB$312,'Safeguard facility data'!$Q$4:$Q$312,$A18,'Safeguard facility data'!BB$4:BB$312,"&gt;0"))-(SUMIFS('Safeguard facility data'!BI$4:BI$312,'Safeguard facility data'!$Q$4:$Q$312,$A18,'Safeguard facility data'!BI$4:BI$312,"&gt;0"))</f>
        <v>244464</v>
      </c>
      <c r="C18" s="67">
        <f>(SUMIFS('Safeguard facility data'!BC$4:BC$312,'Safeguard facility data'!$Q$4:$Q$312,$A18,'Safeguard facility data'!BC$4:BC$312,"&gt;0"))-(SUMIFS('Safeguard facility data'!BJ$4:BJ$312,'Safeguard facility data'!$Q$4:$Q$312,$A18,'Safeguard facility data'!BJ$4:BJ$312,"&gt;0"))</f>
        <v>310442</v>
      </c>
      <c r="D18" s="67">
        <f>(SUMIFS('Safeguard facility data'!BD$4:BD$312,'Safeguard facility data'!$Q$4:$Q$312,$A18,'Safeguard facility data'!BD$4:BD$312,"&gt;0"))-(SUMIFS('Safeguard facility data'!BK$4:BK$312,'Safeguard facility data'!$Q$4:$Q$312,$A18,'Safeguard facility data'!BK$4:BK$312,"&gt;0"))</f>
        <v>486476</v>
      </c>
      <c r="E18" s="67">
        <f>(SUMIFS('Safeguard facility data'!BE$4:BE$312,'Safeguard facility data'!$Q$4:$Q$312,$A18,'Safeguard facility data'!BE$4:BE$312,"&gt;0"))-(SUMIFS('Safeguard facility data'!BL$4:BL$312,'Safeguard facility data'!$Q$4:$Q$312,$A18,'Safeguard facility data'!BL$4:BL$312,"&gt;0"))</f>
        <v>571359</v>
      </c>
      <c r="F18" s="67">
        <f>(SUMIFS('Safeguard facility data'!BF$4:BF$312,'Safeguard facility data'!$Q$4:$Q$312,$A18,'Safeguard facility data'!BF$4:BF$312,"&gt;0"))-(SUMIFS('Safeguard facility data'!BM$4:BM$312,'Safeguard facility data'!$Q$4:$Q$312,$A18,'Safeguard facility data'!BM$4:BM$312,"&gt;0"))</f>
        <v>1123298</v>
      </c>
      <c r="G18" s="61">
        <f t="shared" si="2"/>
        <v>2736039</v>
      </c>
      <c r="H18" s="67"/>
      <c r="I18" s="67"/>
      <c r="J18" s="67"/>
      <c r="K18" s="67"/>
      <c r="L18" s="67"/>
      <c r="M18" s="67"/>
      <c r="N18" s="67"/>
      <c r="O18" s="67"/>
      <c r="P18" s="67"/>
      <c r="Q18" s="67"/>
      <c r="R18" s="67"/>
      <c r="S18" s="67"/>
    </row>
    <row r="19" spans="1:19">
      <c r="A19" s="54" t="s">
        <v>161</v>
      </c>
      <c r="B19" s="67">
        <f>(SUMIFS('Safeguard facility data'!BB$4:BB$312,'Safeguard facility data'!$Q$4:$Q$312,$A19,'Safeguard facility data'!BB$4:BB$312,"&gt;0"))-(SUMIFS('Safeguard facility data'!BI$4:BI$312,'Safeguard facility data'!$Q$4:$Q$312,$A19,'Safeguard facility data'!BI$4:BI$312,"&gt;0"))</f>
        <v>496605</v>
      </c>
      <c r="C19" s="67">
        <f>(SUMIFS('Safeguard facility data'!BC$4:BC$312,'Safeguard facility data'!$Q$4:$Q$312,$A19,'Safeguard facility data'!BC$4:BC$312,"&gt;0"))-(SUMIFS('Safeguard facility data'!BJ$4:BJ$312,'Safeguard facility data'!$Q$4:$Q$312,$A19,'Safeguard facility data'!BJ$4:BJ$312,"&gt;0"))</f>
        <v>480061</v>
      </c>
      <c r="D19" s="67">
        <f>(SUMIFS('Safeguard facility data'!BD$4:BD$312,'Safeguard facility data'!$Q$4:$Q$312,$A19,'Safeguard facility data'!BD$4:BD$312,"&gt;0"))-(SUMIFS('Safeguard facility data'!BK$4:BK$312,'Safeguard facility data'!$Q$4:$Q$312,$A19,'Safeguard facility data'!BK$4:BK$312,"&gt;0"))</f>
        <v>484428</v>
      </c>
      <c r="E19" s="67">
        <f>(SUMIFS('Safeguard facility data'!BE$4:BE$312,'Safeguard facility data'!$Q$4:$Q$312,$A19,'Safeguard facility data'!BE$4:BE$312,"&gt;0"))-(SUMIFS('Safeguard facility data'!BL$4:BL$312,'Safeguard facility data'!$Q$4:$Q$312,$A19,'Safeguard facility data'!BL$4:BL$312,"&gt;0"))</f>
        <v>505198</v>
      </c>
      <c r="F19" s="67">
        <f>(SUMIFS('Safeguard facility data'!BF$4:BF$312,'Safeguard facility data'!$Q$4:$Q$312,$A19,'Safeguard facility data'!BF$4:BF$312,"&gt;0"))-(SUMIFS('Safeguard facility data'!BM$4:BM$312,'Safeguard facility data'!$Q$4:$Q$312,$A19,'Safeguard facility data'!BM$4:BM$312,"&gt;0"))</f>
        <v>498913</v>
      </c>
      <c r="G19" s="61">
        <f t="shared" si="2"/>
        <v>2465205</v>
      </c>
      <c r="H19" s="67"/>
      <c r="I19" s="67"/>
      <c r="J19" s="67"/>
      <c r="K19" s="67"/>
      <c r="L19" s="67"/>
      <c r="M19" s="67"/>
      <c r="N19" s="67"/>
      <c r="O19" s="67"/>
      <c r="P19" s="67"/>
      <c r="Q19" s="67"/>
      <c r="R19" s="67"/>
      <c r="S19" s="67"/>
    </row>
    <row r="20" spans="1:19">
      <c r="A20" s="54" t="s">
        <v>119</v>
      </c>
      <c r="B20" s="67">
        <f>(SUMIFS('Safeguard facility data'!BB$4:BB$312,'Safeguard facility data'!$Q$4:$Q$312,$A20,'Safeguard facility data'!BB$4:BB$312,"&gt;0"))-(SUMIFS('Safeguard facility data'!BI$4:BI$312,'Safeguard facility data'!$Q$4:$Q$312,$A20,'Safeguard facility data'!BI$4:BI$312,"&gt;0"))</f>
        <v>307660</v>
      </c>
      <c r="C20" s="67">
        <f>(SUMIFS('Safeguard facility data'!BC$4:BC$312,'Safeguard facility data'!$Q$4:$Q$312,$A20,'Safeguard facility data'!BC$4:BC$312,"&gt;0"))-(SUMIFS('Safeguard facility data'!BJ$4:BJ$312,'Safeguard facility data'!$Q$4:$Q$312,$A20,'Safeguard facility data'!BJ$4:BJ$312,"&gt;0"))</f>
        <v>198044</v>
      </c>
      <c r="D20" s="67">
        <f>(SUMIFS('Safeguard facility data'!BD$4:BD$312,'Safeguard facility data'!$Q$4:$Q$312,$A20,'Safeguard facility data'!BD$4:BD$312,"&gt;0"))-(SUMIFS('Safeguard facility data'!BK$4:BK$312,'Safeguard facility data'!$Q$4:$Q$312,$A20,'Safeguard facility data'!BK$4:BK$312,"&gt;0"))</f>
        <v>225718</v>
      </c>
      <c r="E20" s="67">
        <f>(SUMIFS('Safeguard facility data'!BE$4:BE$312,'Safeguard facility data'!$Q$4:$Q$312,$A20,'Safeguard facility data'!BE$4:BE$312,"&gt;0"))-(SUMIFS('Safeguard facility data'!BL$4:BL$312,'Safeguard facility data'!$Q$4:$Q$312,$A20,'Safeguard facility data'!BL$4:BL$312,"&gt;0"))</f>
        <v>613171</v>
      </c>
      <c r="F20" s="67">
        <f>(SUMIFS('Safeguard facility data'!BF$4:BF$312,'Safeguard facility data'!$Q$4:$Q$312,$A20,'Safeguard facility data'!BF$4:BF$312,"&gt;0"))-(SUMIFS('Safeguard facility data'!BM$4:BM$312,'Safeguard facility data'!$Q$4:$Q$312,$A20,'Safeguard facility data'!BM$4:BM$312,"&gt;0"))</f>
        <v>970507</v>
      </c>
      <c r="G20" s="61">
        <f t="shared" si="2"/>
        <v>2315100</v>
      </c>
      <c r="H20" s="67"/>
      <c r="I20" s="67"/>
      <c r="J20" s="67"/>
      <c r="K20" s="67"/>
      <c r="L20" s="67"/>
      <c r="M20" s="67"/>
      <c r="N20" s="67"/>
      <c r="O20" s="67"/>
      <c r="P20" s="67"/>
      <c r="Q20" s="67"/>
      <c r="R20" s="67"/>
      <c r="S20" s="67"/>
    </row>
    <row r="21" spans="1:19">
      <c r="A21" s="54" t="s">
        <v>204</v>
      </c>
      <c r="B21" s="67">
        <f>(SUMIFS('Safeguard facility data'!BB$4:BB$312,'Safeguard facility data'!$Q$4:$Q$312,$A21,'Safeguard facility data'!BB$4:BB$312,"&gt;0"))-(SUMIFS('Safeguard facility data'!BI$4:BI$312,'Safeguard facility data'!$Q$4:$Q$312,$A21,'Safeguard facility data'!BI$4:BI$312,"&gt;0"))</f>
        <v>536892</v>
      </c>
      <c r="C21" s="67">
        <f>(SUMIFS('Safeguard facility data'!BC$4:BC$312,'Safeguard facility data'!$Q$4:$Q$312,$A21,'Safeguard facility data'!BC$4:BC$312,"&gt;0"))-(SUMIFS('Safeguard facility data'!BJ$4:BJ$312,'Safeguard facility data'!$Q$4:$Q$312,$A21,'Safeguard facility data'!BJ$4:BJ$312,"&gt;0"))</f>
        <v>540498</v>
      </c>
      <c r="D21" s="67">
        <f>(SUMIFS('Safeguard facility data'!BD$4:BD$312,'Safeguard facility data'!$Q$4:$Q$312,$A21,'Safeguard facility data'!BD$4:BD$312,"&gt;0"))-(SUMIFS('Safeguard facility data'!BK$4:BK$312,'Safeguard facility data'!$Q$4:$Q$312,$A21,'Safeguard facility data'!BK$4:BK$312,"&gt;0"))</f>
        <v>552430</v>
      </c>
      <c r="E21" s="67">
        <f>(SUMIFS('Safeguard facility data'!BE$4:BE$312,'Safeguard facility data'!$Q$4:$Q$312,$A21,'Safeguard facility data'!BE$4:BE$312,"&gt;0"))-(SUMIFS('Safeguard facility data'!BL$4:BL$312,'Safeguard facility data'!$Q$4:$Q$312,$A21,'Safeguard facility data'!BL$4:BL$312,"&gt;0"))</f>
        <v>239498</v>
      </c>
      <c r="F21" s="67">
        <f>(SUMIFS('Safeguard facility data'!BF$4:BF$312,'Safeguard facility data'!$Q$4:$Q$312,$A21,'Safeguard facility data'!BF$4:BF$312,"&gt;0"))-(SUMIFS('Safeguard facility data'!BM$4:BM$312,'Safeguard facility data'!$Q$4:$Q$312,$A21,'Safeguard facility data'!BM$4:BM$312,"&gt;0"))</f>
        <v>333941</v>
      </c>
      <c r="G21" s="61">
        <f t="shared" si="2"/>
        <v>2203259</v>
      </c>
      <c r="H21" s="67"/>
      <c r="I21" s="67"/>
      <c r="J21" s="67"/>
      <c r="K21" s="67"/>
      <c r="L21" s="67"/>
      <c r="M21" s="67"/>
      <c r="N21" s="67"/>
      <c r="O21" s="67"/>
      <c r="P21" s="67"/>
      <c r="Q21" s="67"/>
      <c r="R21" s="67"/>
      <c r="S21" s="67"/>
    </row>
    <row r="22" spans="1:19">
      <c r="A22" s="54" t="s">
        <v>277</v>
      </c>
      <c r="B22" s="67">
        <f>(SUMIFS('Safeguard facility data'!BB$4:BB$312,'Safeguard facility data'!$Q$4:$Q$312,$A22,'Safeguard facility data'!BB$4:BB$312,"&gt;0"))-(SUMIFS('Safeguard facility data'!BI$4:BI$312,'Safeguard facility data'!$Q$4:$Q$312,$A22,'Safeguard facility data'!BI$4:BI$312,"&gt;0"))</f>
        <v>351481</v>
      </c>
      <c r="C22" s="67">
        <f>(SUMIFS('Safeguard facility data'!BC$4:BC$312,'Safeguard facility data'!$Q$4:$Q$312,$A22,'Safeguard facility data'!BC$4:BC$312,"&gt;0"))-(SUMIFS('Safeguard facility data'!BJ$4:BJ$312,'Safeguard facility data'!$Q$4:$Q$312,$A22,'Safeguard facility data'!BJ$4:BJ$312,"&gt;0"))</f>
        <v>223189</v>
      </c>
      <c r="D22" s="67">
        <f>(SUMIFS('Safeguard facility data'!BD$4:BD$312,'Safeguard facility data'!$Q$4:$Q$312,$A22,'Safeguard facility data'!BD$4:BD$312,"&gt;0"))-(SUMIFS('Safeguard facility data'!BK$4:BK$312,'Safeguard facility data'!$Q$4:$Q$312,$A22,'Safeguard facility data'!BK$4:BK$312,"&gt;0"))</f>
        <v>146499</v>
      </c>
      <c r="E22" s="67">
        <f>(SUMIFS('Safeguard facility data'!BE$4:BE$312,'Safeguard facility data'!$Q$4:$Q$312,$A22,'Safeguard facility data'!BE$4:BE$312,"&gt;0"))-(SUMIFS('Safeguard facility data'!BL$4:BL$312,'Safeguard facility data'!$Q$4:$Q$312,$A22,'Safeguard facility data'!BL$4:BL$312,"&gt;0"))</f>
        <v>483193</v>
      </c>
      <c r="F22" s="67">
        <f>(SUMIFS('Safeguard facility data'!BF$4:BF$312,'Safeguard facility data'!$Q$4:$Q$312,$A22,'Safeguard facility data'!BF$4:BF$312,"&gt;0"))-(SUMIFS('Safeguard facility data'!BM$4:BM$312,'Safeguard facility data'!$Q$4:$Q$312,$A22,'Safeguard facility data'!BM$4:BM$312,"&gt;0"))</f>
        <v>507959</v>
      </c>
      <c r="G22" s="61">
        <f t="shared" si="2"/>
        <v>1712321</v>
      </c>
      <c r="H22" s="67"/>
      <c r="I22" s="67"/>
      <c r="J22" s="67"/>
      <c r="K22" s="67"/>
      <c r="L22" s="67"/>
      <c r="M22" s="67"/>
      <c r="N22" s="67"/>
      <c r="O22" s="67"/>
      <c r="P22" s="67"/>
      <c r="Q22" s="67"/>
      <c r="R22" s="67"/>
      <c r="S22" s="67"/>
    </row>
    <row r="23" spans="1:19">
      <c r="A23" s="54" t="s">
        <v>268</v>
      </c>
      <c r="B23" s="67">
        <f>(SUMIFS('Safeguard facility data'!BB$4:BB$312,'Safeguard facility data'!$Q$4:$Q$312,$A23,'Safeguard facility data'!BB$4:BB$312,"&gt;0"))-(SUMIFS('Safeguard facility data'!BI$4:BI$312,'Safeguard facility data'!$Q$4:$Q$312,$A23,'Safeguard facility data'!BI$4:BI$312,"&gt;0"))</f>
        <v>327102</v>
      </c>
      <c r="C23" s="67">
        <f>(SUMIFS('Safeguard facility data'!BC$4:BC$312,'Safeguard facility data'!$Q$4:$Q$312,$A23,'Safeguard facility data'!BC$4:BC$312,"&gt;0"))-(SUMIFS('Safeguard facility data'!BJ$4:BJ$312,'Safeguard facility data'!$Q$4:$Q$312,$A23,'Safeguard facility data'!BJ$4:BJ$312,"&gt;0"))</f>
        <v>303101</v>
      </c>
      <c r="D23" s="67">
        <f>(SUMIFS('Safeguard facility data'!BD$4:BD$312,'Safeguard facility data'!$Q$4:$Q$312,$A23,'Safeguard facility data'!BD$4:BD$312,"&gt;0"))-(SUMIFS('Safeguard facility data'!BK$4:BK$312,'Safeguard facility data'!$Q$4:$Q$312,$A23,'Safeguard facility data'!BK$4:BK$312,"&gt;0"))</f>
        <v>327470</v>
      </c>
      <c r="E23" s="67">
        <f>(SUMIFS('Safeguard facility data'!BE$4:BE$312,'Safeguard facility data'!$Q$4:$Q$312,$A23,'Safeguard facility data'!BE$4:BE$312,"&gt;0"))-(SUMIFS('Safeguard facility data'!BL$4:BL$312,'Safeguard facility data'!$Q$4:$Q$312,$A23,'Safeguard facility data'!BL$4:BL$312,"&gt;0"))</f>
        <v>279607</v>
      </c>
      <c r="F23" s="67">
        <f>(SUMIFS('Safeguard facility data'!BF$4:BF$312,'Safeguard facility data'!$Q$4:$Q$312,$A23,'Safeguard facility data'!BF$4:BF$312,"&gt;0"))-(SUMIFS('Safeguard facility data'!BM$4:BM$312,'Safeguard facility data'!$Q$4:$Q$312,$A23,'Safeguard facility data'!BM$4:BM$312,"&gt;0"))</f>
        <v>379423</v>
      </c>
      <c r="G23" s="61">
        <f t="shared" si="2"/>
        <v>1616703</v>
      </c>
      <c r="H23" s="67"/>
      <c r="I23" s="67"/>
      <c r="J23" s="67"/>
      <c r="K23" s="67"/>
      <c r="L23" s="67"/>
      <c r="M23" s="67"/>
      <c r="N23" s="67"/>
      <c r="O23" s="67"/>
      <c r="P23" s="67"/>
      <c r="Q23" s="67"/>
      <c r="R23" s="67"/>
      <c r="S23" s="67"/>
    </row>
    <row r="24" spans="1:19">
      <c r="A24" s="54" t="s">
        <v>224</v>
      </c>
      <c r="B24" s="67">
        <f>(SUMIFS('Safeguard facility data'!BB$4:BB$312,'Safeguard facility data'!$Q$4:$Q$312,$A24,'Safeguard facility data'!BB$4:BB$312,"&gt;0"))-(SUMIFS('Safeguard facility data'!BI$4:BI$312,'Safeguard facility data'!$Q$4:$Q$312,$A24,'Safeguard facility data'!BI$4:BI$312,"&gt;0"))</f>
        <v>234443</v>
      </c>
      <c r="C24" s="67">
        <f>(SUMIFS('Safeguard facility data'!BC$4:BC$312,'Safeguard facility data'!$Q$4:$Q$312,$A24,'Safeguard facility data'!BC$4:BC$312,"&gt;0"))-(SUMIFS('Safeguard facility data'!BJ$4:BJ$312,'Safeguard facility data'!$Q$4:$Q$312,$A24,'Safeguard facility data'!BJ$4:BJ$312,"&gt;0"))</f>
        <v>333170</v>
      </c>
      <c r="D24" s="67">
        <f>(SUMIFS('Safeguard facility data'!BD$4:BD$312,'Safeguard facility data'!$Q$4:$Q$312,$A24,'Safeguard facility data'!BD$4:BD$312,"&gt;0"))-(SUMIFS('Safeguard facility data'!BK$4:BK$312,'Safeguard facility data'!$Q$4:$Q$312,$A24,'Safeguard facility data'!BK$4:BK$312,"&gt;0"))</f>
        <v>365962</v>
      </c>
      <c r="E24" s="67">
        <f>(SUMIFS('Safeguard facility data'!BE$4:BE$312,'Safeguard facility data'!$Q$4:$Q$312,$A24,'Safeguard facility data'!BE$4:BE$312,"&gt;0"))-(SUMIFS('Safeguard facility data'!BL$4:BL$312,'Safeguard facility data'!$Q$4:$Q$312,$A24,'Safeguard facility data'!BL$4:BL$312,"&gt;0"))</f>
        <v>340164</v>
      </c>
      <c r="F24" s="67">
        <f>(SUMIFS('Safeguard facility data'!BF$4:BF$312,'Safeguard facility data'!$Q$4:$Q$312,$A24,'Safeguard facility data'!BF$4:BF$312,"&gt;0"))-(SUMIFS('Safeguard facility data'!BM$4:BM$312,'Safeguard facility data'!$Q$4:$Q$312,$A24,'Safeguard facility data'!BM$4:BM$312,"&gt;0"))</f>
        <v>334334</v>
      </c>
      <c r="G24" s="61">
        <f t="shared" si="2"/>
        <v>1608073</v>
      </c>
      <c r="H24" s="67"/>
      <c r="I24" s="67"/>
      <c r="J24" s="67"/>
      <c r="K24" s="67"/>
      <c r="L24" s="67"/>
      <c r="M24" s="67"/>
      <c r="N24" s="67"/>
      <c r="O24" s="67"/>
      <c r="P24" s="67"/>
      <c r="Q24" s="67"/>
      <c r="R24" s="67"/>
      <c r="S24" s="67"/>
    </row>
    <row r="25" spans="1:19">
      <c r="A25" s="54" t="s">
        <v>225</v>
      </c>
      <c r="B25" s="67">
        <f>(SUMIFS('Safeguard facility data'!BB$4:BB$312,'Safeguard facility data'!$Q$4:$Q$312,$A25,'Safeguard facility data'!BB$4:BB$312,"&gt;0"))-(SUMIFS('Safeguard facility data'!BI$4:BI$312,'Safeguard facility data'!$Q$4:$Q$312,$A25,'Safeguard facility data'!BI$4:BI$312,"&gt;0"))</f>
        <v>240679</v>
      </c>
      <c r="C25" s="67">
        <f>(SUMIFS('Safeguard facility data'!BC$4:BC$312,'Safeguard facility data'!$Q$4:$Q$312,$A25,'Safeguard facility data'!BC$4:BC$312,"&gt;0"))-(SUMIFS('Safeguard facility data'!BJ$4:BJ$312,'Safeguard facility data'!$Q$4:$Q$312,$A25,'Safeguard facility data'!BJ$4:BJ$312,"&gt;0"))</f>
        <v>340584</v>
      </c>
      <c r="D25" s="67">
        <f>(SUMIFS('Safeguard facility data'!BD$4:BD$312,'Safeguard facility data'!$Q$4:$Q$312,$A25,'Safeguard facility data'!BD$4:BD$312,"&gt;0"))-(SUMIFS('Safeguard facility data'!BK$4:BK$312,'Safeguard facility data'!$Q$4:$Q$312,$A25,'Safeguard facility data'!BK$4:BK$312,"&gt;0"))</f>
        <v>351943</v>
      </c>
      <c r="E25" s="67">
        <f>(SUMIFS('Safeguard facility data'!BE$4:BE$312,'Safeguard facility data'!$Q$4:$Q$312,$A25,'Safeguard facility data'!BE$4:BE$312,"&gt;0"))-(SUMIFS('Safeguard facility data'!BL$4:BL$312,'Safeguard facility data'!$Q$4:$Q$312,$A25,'Safeguard facility data'!BL$4:BL$312,"&gt;0"))</f>
        <v>242788</v>
      </c>
      <c r="F25" s="67">
        <f>(SUMIFS('Safeguard facility data'!BF$4:BF$312,'Safeguard facility data'!$Q$4:$Q$312,$A25,'Safeguard facility data'!BF$4:BF$312,"&gt;0"))-(SUMIFS('Safeguard facility data'!BM$4:BM$312,'Safeguard facility data'!$Q$4:$Q$312,$A25,'Safeguard facility data'!BM$4:BM$312,"&gt;0"))</f>
        <v>308644</v>
      </c>
      <c r="G25" s="61">
        <f t="shared" si="2"/>
        <v>1484638</v>
      </c>
      <c r="H25" s="67"/>
      <c r="I25" s="67"/>
      <c r="J25" s="67"/>
      <c r="K25" s="67"/>
      <c r="L25" s="67"/>
      <c r="M25" s="67"/>
      <c r="N25" s="67"/>
      <c r="O25" s="67"/>
      <c r="P25" s="67"/>
      <c r="Q25" s="67"/>
      <c r="R25" s="67"/>
      <c r="S25" s="67"/>
    </row>
    <row r="26" spans="1:19">
      <c r="A26" s="54" t="s">
        <v>39</v>
      </c>
      <c r="B26" s="67">
        <f>(SUMIFS('Safeguard facility data'!BB$4:BB$312,'Safeguard facility data'!$Q$4:$Q$312,$A26,'Safeguard facility data'!BB$4:BB$312,"&gt;0"))-(SUMIFS('Safeguard facility data'!BI$4:BI$312,'Safeguard facility data'!$Q$4:$Q$312,$A26,'Safeguard facility data'!BI$4:BI$312,"&gt;0"))</f>
        <v>380906</v>
      </c>
      <c r="C26" s="67">
        <f>(SUMIFS('Safeguard facility data'!BC$4:BC$312,'Safeguard facility data'!$Q$4:$Q$312,$A26,'Safeguard facility data'!BC$4:BC$312,"&gt;0"))-(SUMIFS('Safeguard facility data'!BJ$4:BJ$312,'Safeguard facility data'!$Q$4:$Q$312,$A26,'Safeguard facility data'!BJ$4:BJ$312,"&gt;0"))</f>
        <v>235223</v>
      </c>
      <c r="D26" s="67">
        <f>(SUMIFS('Safeguard facility data'!BD$4:BD$312,'Safeguard facility data'!$Q$4:$Q$312,$A26,'Safeguard facility data'!BD$4:BD$312,"&gt;0"))-(SUMIFS('Safeguard facility data'!BK$4:BK$312,'Safeguard facility data'!$Q$4:$Q$312,$A26,'Safeguard facility data'!BK$4:BK$312,"&gt;0"))</f>
        <v>304865</v>
      </c>
      <c r="E26" s="67">
        <f>(SUMIFS('Safeguard facility data'!BE$4:BE$312,'Safeguard facility data'!$Q$4:$Q$312,$A26,'Safeguard facility data'!BE$4:BE$312,"&gt;0"))-(SUMIFS('Safeguard facility data'!BL$4:BL$312,'Safeguard facility data'!$Q$4:$Q$312,$A26,'Safeguard facility data'!BL$4:BL$312,"&gt;0"))</f>
        <v>168413</v>
      </c>
      <c r="F26" s="67">
        <f>(SUMIFS('Safeguard facility data'!BF$4:BF$312,'Safeguard facility data'!$Q$4:$Q$312,$A26,'Safeguard facility data'!BF$4:BF$312,"&gt;0"))-(SUMIFS('Safeguard facility data'!BM$4:BM$312,'Safeguard facility data'!$Q$4:$Q$312,$A26,'Safeguard facility data'!BM$4:BM$312,"&gt;0"))</f>
        <v>194654</v>
      </c>
      <c r="G26" s="61">
        <f t="shared" si="2"/>
        <v>1284061</v>
      </c>
      <c r="H26" s="67"/>
      <c r="I26" s="67"/>
      <c r="J26" s="67"/>
      <c r="K26" s="67"/>
      <c r="L26" s="67"/>
      <c r="M26" s="67"/>
      <c r="N26" s="67"/>
      <c r="O26" s="67"/>
      <c r="P26" s="67"/>
      <c r="Q26" s="67"/>
      <c r="R26" s="67"/>
      <c r="S26" s="67"/>
    </row>
    <row r="27" spans="1:19">
      <c r="A27" s="54" t="s">
        <v>227</v>
      </c>
      <c r="B27" s="67">
        <f>(SUMIFS('Safeguard facility data'!BB$4:BB$312,'Safeguard facility data'!$Q$4:$Q$312,$A27,'Safeguard facility data'!BB$4:BB$312,"&gt;0"))-(SUMIFS('Safeguard facility data'!BI$4:BI$312,'Safeguard facility data'!$Q$4:$Q$312,$A27,'Safeguard facility data'!BI$4:BI$312,"&gt;0"))</f>
        <v>277564</v>
      </c>
      <c r="C27" s="67">
        <f>(SUMIFS('Safeguard facility data'!BC$4:BC$312,'Safeguard facility data'!$Q$4:$Q$312,$A27,'Safeguard facility data'!BC$4:BC$312,"&gt;0"))-(SUMIFS('Safeguard facility data'!BJ$4:BJ$312,'Safeguard facility data'!$Q$4:$Q$312,$A27,'Safeguard facility data'!BJ$4:BJ$312,"&gt;0"))</f>
        <v>277564</v>
      </c>
      <c r="D27" s="67">
        <f>(SUMIFS('Safeguard facility data'!BD$4:BD$312,'Safeguard facility data'!$Q$4:$Q$312,$A27,'Safeguard facility data'!BD$4:BD$312,"&gt;0"))-(SUMIFS('Safeguard facility data'!BK$4:BK$312,'Safeguard facility data'!$Q$4:$Q$312,$A27,'Safeguard facility data'!BK$4:BK$312,"&gt;0"))</f>
        <v>150479</v>
      </c>
      <c r="E27" s="67">
        <f>(SUMIFS('Safeguard facility data'!BE$4:BE$312,'Safeguard facility data'!$Q$4:$Q$312,$A27,'Safeguard facility data'!BE$4:BE$312,"&gt;0"))-(SUMIFS('Safeguard facility data'!BL$4:BL$312,'Safeguard facility data'!$Q$4:$Q$312,$A27,'Safeguard facility data'!BL$4:BL$312,"&gt;0"))</f>
        <v>162179</v>
      </c>
      <c r="F27" s="67">
        <f>(SUMIFS('Safeguard facility data'!BF$4:BF$312,'Safeguard facility data'!$Q$4:$Q$312,$A27,'Safeguard facility data'!BF$4:BF$312,"&gt;0"))-(SUMIFS('Safeguard facility data'!BM$4:BM$312,'Safeguard facility data'!$Q$4:$Q$312,$A27,'Safeguard facility data'!BM$4:BM$312,"&gt;0"))</f>
        <v>165245</v>
      </c>
      <c r="G27" s="61">
        <f t="shared" si="2"/>
        <v>1033031</v>
      </c>
      <c r="H27" s="67"/>
      <c r="I27" s="67"/>
      <c r="J27" s="67"/>
      <c r="K27" s="67"/>
      <c r="L27" s="67"/>
      <c r="M27" s="67"/>
      <c r="N27" s="67"/>
      <c r="O27" s="67"/>
      <c r="P27" s="67"/>
      <c r="Q27" s="67"/>
      <c r="R27" s="67"/>
      <c r="S27" s="67"/>
    </row>
    <row r="28" spans="1:19">
      <c r="A28" s="54" t="s">
        <v>188</v>
      </c>
      <c r="B28" s="67">
        <f>(SUMIFS('Safeguard facility data'!BB$4:BB$312,'Safeguard facility data'!$Q$4:$Q$312,$A28,'Safeguard facility data'!BB$4:BB$312,"&gt;0"))-(SUMIFS('Safeguard facility data'!BI$4:BI$312,'Safeguard facility data'!$Q$4:$Q$312,$A28,'Safeguard facility data'!BI$4:BI$312,"&gt;0"))</f>
        <v>204908</v>
      </c>
      <c r="C28" s="67">
        <f>(SUMIFS('Safeguard facility data'!BC$4:BC$312,'Safeguard facility data'!$Q$4:$Q$312,$A28,'Safeguard facility data'!BC$4:BC$312,"&gt;0"))-(SUMIFS('Safeguard facility data'!BJ$4:BJ$312,'Safeguard facility data'!$Q$4:$Q$312,$A28,'Safeguard facility data'!BJ$4:BJ$312,"&gt;0"))</f>
        <v>132483</v>
      </c>
      <c r="D28" s="67">
        <f>(SUMIFS('Safeguard facility data'!BD$4:BD$312,'Safeguard facility data'!$Q$4:$Q$312,$A28,'Safeguard facility data'!BD$4:BD$312,"&gt;0"))-(SUMIFS('Safeguard facility data'!BK$4:BK$312,'Safeguard facility data'!$Q$4:$Q$312,$A28,'Safeguard facility data'!BK$4:BK$312,"&gt;0"))</f>
        <v>71166</v>
      </c>
      <c r="E28" s="67">
        <f>(SUMIFS('Safeguard facility data'!BE$4:BE$312,'Safeguard facility data'!$Q$4:$Q$312,$A28,'Safeguard facility data'!BE$4:BE$312,"&gt;0"))-(SUMIFS('Safeguard facility data'!BL$4:BL$312,'Safeguard facility data'!$Q$4:$Q$312,$A28,'Safeguard facility data'!BL$4:BL$312,"&gt;0"))</f>
        <v>35332</v>
      </c>
      <c r="F28" s="67">
        <f>(SUMIFS('Safeguard facility data'!BF$4:BF$312,'Safeguard facility data'!$Q$4:$Q$312,$A28,'Safeguard facility data'!BF$4:BF$312,"&gt;0"))-(SUMIFS('Safeguard facility data'!BM$4:BM$312,'Safeguard facility data'!$Q$4:$Q$312,$A28,'Safeguard facility data'!BM$4:BM$312,"&gt;0"))</f>
        <v>117214</v>
      </c>
      <c r="G28" s="61">
        <f t="shared" si="2"/>
        <v>561103</v>
      </c>
      <c r="H28" s="67"/>
      <c r="I28" s="67"/>
      <c r="J28" s="67"/>
      <c r="K28" s="67"/>
      <c r="L28" s="67"/>
      <c r="M28" s="67"/>
      <c r="N28" s="67"/>
      <c r="O28" s="67"/>
      <c r="P28" s="67"/>
      <c r="Q28" s="67"/>
      <c r="R28" s="67"/>
      <c r="S28" s="67"/>
    </row>
    <row r="29" spans="1:19">
      <c r="A29" s="54" t="s">
        <v>51</v>
      </c>
      <c r="B29" s="67">
        <f>(SUMIFS('Safeguard facility data'!BB$4:BB$312,'Safeguard facility data'!$Q$4:$Q$312,$A29,'Safeguard facility data'!BB$4:BB$312,"&gt;0"))-(SUMIFS('Safeguard facility data'!BI$4:BI$312,'Safeguard facility data'!$Q$4:$Q$312,$A29,'Safeguard facility data'!BI$4:BI$312,"&gt;0"))</f>
        <v>106831</v>
      </c>
      <c r="C29" s="67">
        <f>(SUMIFS('Safeguard facility data'!BC$4:BC$312,'Safeguard facility data'!$Q$4:$Q$312,$A29,'Safeguard facility data'!BC$4:BC$312,"&gt;0"))-(SUMIFS('Safeguard facility data'!BJ$4:BJ$312,'Safeguard facility data'!$Q$4:$Q$312,$A29,'Safeguard facility data'!BJ$4:BJ$312,"&gt;0"))</f>
        <v>106831</v>
      </c>
      <c r="D29" s="67">
        <f>(SUMIFS('Safeguard facility data'!BD$4:BD$312,'Safeguard facility data'!$Q$4:$Q$312,$A29,'Safeguard facility data'!BD$4:BD$312,"&gt;0"))-(SUMIFS('Safeguard facility data'!BK$4:BK$312,'Safeguard facility data'!$Q$4:$Q$312,$A29,'Safeguard facility data'!BK$4:BK$312,"&gt;0"))</f>
        <v>106831</v>
      </c>
      <c r="E29" s="67">
        <f>(SUMIFS('Safeguard facility data'!BE$4:BE$312,'Safeguard facility data'!$Q$4:$Q$312,$A29,'Safeguard facility data'!BE$4:BE$312,"&gt;0"))-(SUMIFS('Safeguard facility data'!BL$4:BL$312,'Safeguard facility data'!$Q$4:$Q$312,$A29,'Safeguard facility data'!BL$4:BL$312,"&gt;0"))</f>
        <v>106831</v>
      </c>
      <c r="F29" s="67">
        <f>(SUMIFS('Safeguard facility data'!BF$4:BF$312,'Safeguard facility data'!$Q$4:$Q$312,$A29,'Safeguard facility data'!BF$4:BF$312,"&gt;0"))-(SUMIFS('Safeguard facility data'!BM$4:BM$312,'Safeguard facility data'!$Q$4:$Q$312,$A29,'Safeguard facility data'!BM$4:BM$312,"&gt;0"))</f>
        <v>106831</v>
      </c>
      <c r="G29" s="61">
        <f t="shared" si="2"/>
        <v>534155</v>
      </c>
      <c r="H29" s="67"/>
      <c r="I29" s="67"/>
      <c r="J29" s="67"/>
      <c r="K29" s="67"/>
      <c r="L29" s="67"/>
      <c r="M29" s="67"/>
      <c r="N29" s="67"/>
      <c r="O29" s="67"/>
      <c r="P29" s="67"/>
      <c r="Q29" s="67"/>
      <c r="R29" s="67"/>
      <c r="S29" s="67"/>
    </row>
    <row r="30" spans="1:19">
      <c r="A30" s="54" t="s">
        <v>116</v>
      </c>
      <c r="B30" s="67">
        <f>(SUMIFS('Safeguard facility data'!BB$4:BB$312,'Safeguard facility data'!$Q$4:$Q$312,$A30,'Safeguard facility data'!BB$4:BB$312,"&gt;0"))-(SUMIFS('Safeguard facility data'!BI$4:BI$312,'Safeguard facility data'!$Q$4:$Q$312,$A30,'Safeguard facility data'!BI$4:BI$312,"&gt;0"))</f>
        <v>100000</v>
      </c>
      <c r="C30" s="67">
        <f>(SUMIFS('Safeguard facility data'!BC$4:BC$312,'Safeguard facility data'!$Q$4:$Q$312,$A30,'Safeguard facility data'!BC$4:BC$312,"&gt;0"))-(SUMIFS('Safeguard facility data'!BJ$4:BJ$312,'Safeguard facility data'!$Q$4:$Q$312,$A30,'Safeguard facility data'!BJ$4:BJ$312,"&gt;0"))</f>
        <v>100000</v>
      </c>
      <c r="D30" s="67">
        <f>(SUMIFS('Safeguard facility data'!BD$4:BD$312,'Safeguard facility data'!$Q$4:$Q$312,$A30,'Safeguard facility data'!BD$4:BD$312,"&gt;0"))-(SUMIFS('Safeguard facility data'!BK$4:BK$312,'Safeguard facility data'!$Q$4:$Q$312,$A30,'Safeguard facility data'!BK$4:BK$312,"&gt;0"))</f>
        <v>100000</v>
      </c>
      <c r="E30" s="67">
        <f>(SUMIFS('Safeguard facility data'!BE$4:BE$312,'Safeguard facility data'!$Q$4:$Q$312,$A30,'Safeguard facility data'!BE$4:BE$312,"&gt;0"))-(SUMIFS('Safeguard facility data'!BL$4:BL$312,'Safeguard facility data'!$Q$4:$Q$312,$A30,'Safeguard facility data'!BL$4:BL$312,"&gt;0"))</f>
        <v>100000</v>
      </c>
      <c r="F30" s="67">
        <f>(SUMIFS('Safeguard facility data'!BF$4:BF$312,'Safeguard facility data'!$Q$4:$Q$312,$A30,'Safeguard facility data'!BF$4:BF$312,"&gt;0"))-(SUMIFS('Safeguard facility data'!BM$4:BM$312,'Safeguard facility data'!$Q$4:$Q$312,$A30,'Safeguard facility data'!BM$4:BM$312,"&gt;0"))</f>
        <v>100000</v>
      </c>
      <c r="G30" s="61">
        <f t="shared" si="2"/>
        <v>500000</v>
      </c>
      <c r="H30" s="67"/>
      <c r="I30" s="67"/>
      <c r="J30" s="67"/>
      <c r="K30" s="67"/>
      <c r="L30" s="67"/>
      <c r="M30" s="67"/>
      <c r="N30" s="67"/>
      <c r="O30" s="67"/>
      <c r="P30" s="67"/>
      <c r="Q30" s="67"/>
      <c r="R30" s="67"/>
      <c r="S30" s="67"/>
    </row>
    <row r="31" spans="1:19">
      <c r="A31" s="54" t="s">
        <v>280</v>
      </c>
      <c r="B31" s="67">
        <f>(SUMIFS('Safeguard facility data'!BB$4:BB$312,'Safeguard facility data'!$Q$4:$Q$312,$A31,'Safeguard facility data'!BB$4:BB$312,"&gt;0"))-(SUMIFS('Safeguard facility data'!BI$4:BI$312,'Safeguard facility data'!$Q$4:$Q$312,$A31,'Safeguard facility data'!BI$4:BI$312,"&gt;0"))</f>
        <v>98841</v>
      </c>
      <c r="C31" s="67">
        <f>(SUMIFS('Safeguard facility data'!BC$4:BC$312,'Safeguard facility data'!$Q$4:$Q$312,$A31,'Safeguard facility data'!BC$4:BC$312,"&gt;0"))-(SUMIFS('Safeguard facility data'!BJ$4:BJ$312,'Safeguard facility data'!$Q$4:$Q$312,$A31,'Safeguard facility data'!BJ$4:BJ$312,"&gt;0"))</f>
        <v>106545</v>
      </c>
      <c r="D31" s="67">
        <f>(SUMIFS('Safeguard facility data'!BD$4:BD$312,'Safeguard facility data'!$Q$4:$Q$312,$A31,'Safeguard facility data'!BD$4:BD$312,"&gt;0"))-(SUMIFS('Safeguard facility data'!BK$4:BK$312,'Safeguard facility data'!$Q$4:$Q$312,$A31,'Safeguard facility data'!BK$4:BK$312,"&gt;0"))</f>
        <v>76954</v>
      </c>
      <c r="E31" s="67">
        <f>(SUMIFS('Safeguard facility data'!BE$4:BE$312,'Safeguard facility data'!$Q$4:$Q$312,$A31,'Safeguard facility data'!BE$4:BE$312,"&gt;0"))-(SUMIFS('Safeguard facility data'!BL$4:BL$312,'Safeguard facility data'!$Q$4:$Q$312,$A31,'Safeguard facility data'!BL$4:BL$312,"&gt;0"))</f>
        <v>54422</v>
      </c>
      <c r="F31" s="67">
        <f>(SUMIFS('Safeguard facility data'!BF$4:BF$312,'Safeguard facility data'!$Q$4:$Q$312,$A31,'Safeguard facility data'!BF$4:BF$312,"&gt;0"))-(SUMIFS('Safeguard facility data'!BM$4:BM$312,'Safeguard facility data'!$Q$4:$Q$312,$A31,'Safeguard facility data'!BM$4:BM$312,"&gt;0"))</f>
        <v>128848</v>
      </c>
      <c r="G31" s="61">
        <f t="shared" si="2"/>
        <v>465610</v>
      </c>
      <c r="H31" s="67"/>
      <c r="I31" s="67"/>
      <c r="J31" s="67"/>
      <c r="K31" s="67"/>
      <c r="L31" s="67"/>
      <c r="M31" s="67"/>
      <c r="N31" s="67"/>
      <c r="O31" s="67"/>
      <c r="P31" s="67"/>
      <c r="Q31" s="67"/>
      <c r="R31" s="67"/>
      <c r="S31" s="67"/>
    </row>
    <row r="32" spans="1:19">
      <c r="A32" s="54" t="s">
        <v>282</v>
      </c>
      <c r="B32" s="67">
        <f>(SUMIFS('Safeguard facility data'!BB$4:BB$312,'Safeguard facility data'!$Q$4:$Q$312,$A32,'Safeguard facility data'!BB$4:BB$312,"&gt;0"))-(SUMIFS('Safeguard facility data'!BI$4:BI$312,'Safeguard facility data'!$Q$4:$Q$312,$A32,'Safeguard facility data'!BI$4:BI$312,"&gt;0"))</f>
        <v>91083</v>
      </c>
      <c r="C32" s="67">
        <f>(SUMIFS('Safeguard facility data'!BC$4:BC$312,'Safeguard facility data'!$Q$4:$Q$312,$A32,'Safeguard facility data'!BC$4:BC$312,"&gt;0"))-(SUMIFS('Safeguard facility data'!BJ$4:BJ$312,'Safeguard facility data'!$Q$4:$Q$312,$A32,'Safeguard facility data'!BJ$4:BJ$312,"&gt;0"))</f>
        <v>97715</v>
      </c>
      <c r="D32" s="67">
        <f>(SUMIFS('Safeguard facility data'!BD$4:BD$312,'Safeguard facility data'!$Q$4:$Q$312,$A32,'Safeguard facility data'!BD$4:BD$312,"&gt;0"))-(SUMIFS('Safeguard facility data'!BK$4:BK$312,'Safeguard facility data'!$Q$4:$Q$312,$A32,'Safeguard facility data'!BK$4:BK$312,"&gt;0"))</f>
        <v>108747</v>
      </c>
      <c r="E32" s="67">
        <f>(SUMIFS('Safeguard facility data'!BE$4:BE$312,'Safeguard facility data'!$Q$4:$Q$312,$A32,'Safeguard facility data'!BE$4:BE$312,"&gt;0"))-(SUMIFS('Safeguard facility data'!BL$4:BL$312,'Safeguard facility data'!$Q$4:$Q$312,$A32,'Safeguard facility data'!BL$4:BL$312,"&gt;0"))</f>
        <v>105465</v>
      </c>
      <c r="F32" s="67">
        <f>(SUMIFS('Safeguard facility data'!BF$4:BF$312,'Safeguard facility data'!$Q$4:$Q$312,$A32,'Safeguard facility data'!BF$4:BF$312,"&gt;0"))-(SUMIFS('Safeguard facility data'!BM$4:BM$312,'Safeguard facility data'!$Q$4:$Q$312,$A32,'Safeguard facility data'!BM$4:BM$312,"&gt;0"))</f>
        <v>36188</v>
      </c>
      <c r="G32" s="61">
        <f t="shared" si="2"/>
        <v>439198</v>
      </c>
      <c r="H32" s="67"/>
      <c r="I32" s="67"/>
      <c r="J32" s="67"/>
      <c r="K32" s="67"/>
      <c r="L32" s="67"/>
      <c r="M32" s="67"/>
      <c r="N32" s="67"/>
      <c r="O32" s="67"/>
      <c r="P32" s="67"/>
      <c r="Q32" s="67"/>
      <c r="R32" s="67"/>
      <c r="S32" s="67"/>
    </row>
    <row r="33" spans="1:19">
      <c r="A33" s="54" t="s">
        <v>184</v>
      </c>
      <c r="B33" s="67">
        <f>(SUMIFS('Safeguard facility data'!BB$4:BB$312,'Safeguard facility data'!$Q$4:$Q$312,$A33,'Safeguard facility data'!BB$4:BB$312,"&gt;0"))-(SUMIFS('Safeguard facility data'!BI$4:BI$312,'Safeguard facility data'!$Q$4:$Q$312,$A33,'Safeguard facility data'!BI$4:BI$312,"&gt;0"))</f>
        <v>89116</v>
      </c>
      <c r="C33" s="67">
        <f>(SUMIFS('Safeguard facility data'!BC$4:BC$312,'Safeguard facility data'!$Q$4:$Q$312,$A33,'Safeguard facility data'!BC$4:BC$312,"&gt;0"))-(SUMIFS('Safeguard facility data'!BJ$4:BJ$312,'Safeguard facility data'!$Q$4:$Q$312,$A33,'Safeguard facility data'!BJ$4:BJ$312,"&gt;0"))</f>
        <v>64461</v>
      </c>
      <c r="D33" s="67">
        <f>(SUMIFS('Safeguard facility data'!BD$4:BD$312,'Safeguard facility data'!$Q$4:$Q$312,$A33,'Safeguard facility data'!BD$4:BD$312,"&gt;0"))-(SUMIFS('Safeguard facility data'!BK$4:BK$312,'Safeguard facility data'!$Q$4:$Q$312,$A33,'Safeguard facility data'!BK$4:BK$312,"&gt;0"))</f>
        <v>39668</v>
      </c>
      <c r="E33" s="67">
        <f>(SUMIFS('Safeguard facility data'!BE$4:BE$312,'Safeguard facility data'!$Q$4:$Q$312,$A33,'Safeguard facility data'!BE$4:BE$312,"&gt;0"))-(SUMIFS('Safeguard facility data'!BL$4:BL$312,'Safeguard facility data'!$Q$4:$Q$312,$A33,'Safeguard facility data'!BL$4:BL$312,"&gt;0"))</f>
        <v>125234</v>
      </c>
      <c r="F33" s="67">
        <f>(SUMIFS('Safeguard facility data'!BF$4:BF$312,'Safeguard facility data'!$Q$4:$Q$312,$A33,'Safeguard facility data'!BF$4:BF$312,"&gt;0"))-(SUMIFS('Safeguard facility data'!BM$4:BM$312,'Safeguard facility data'!$Q$4:$Q$312,$A33,'Safeguard facility data'!BM$4:BM$312,"&gt;0"))</f>
        <v>115340</v>
      </c>
      <c r="G33" s="61">
        <f t="shared" si="2"/>
        <v>433819</v>
      </c>
      <c r="H33" s="67"/>
      <c r="I33" s="67"/>
      <c r="J33" s="67"/>
      <c r="K33" s="67"/>
      <c r="L33" s="67"/>
      <c r="M33" s="67"/>
      <c r="N33" s="67"/>
      <c r="O33" s="67"/>
      <c r="P33" s="67"/>
      <c r="Q33" s="67"/>
      <c r="R33" s="67"/>
      <c r="S33" s="67"/>
    </row>
    <row r="34" spans="1:19">
      <c r="A34" s="54" t="s">
        <v>255</v>
      </c>
      <c r="B34" s="67">
        <f>(SUMIFS('Safeguard facility data'!BB$4:BB$312,'Safeguard facility data'!$Q$4:$Q$312,$A34,'Safeguard facility data'!BB$4:BB$312,"&gt;0"))-(SUMIFS('Safeguard facility data'!BI$4:BI$312,'Safeguard facility data'!$Q$4:$Q$312,$A34,'Safeguard facility data'!BI$4:BI$312,"&gt;0"))</f>
        <v>145847</v>
      </c>
      <c r="C34" s="67">
        <f>(SUMIFS('Safeguard facility data'!BC$4:BC$312,'Safeguard facility data'!$Q$4:$Q$312,$A34,'Safeguard facility data'!BC$4:BC$312,"&gt;0"))-(SUMIFS('Safeguard facility data'!BJ$4:BJ$312,'Safeguard facility data'!$Q$4:$Q$312,$A34,'Safeguard facility data'!BJ$4:BJ$312,"&gt;0"))</f>
        <v>36167</v>
      </c>
      <c r="D34" s="67">
        <f>(SUMIFS('Safeguard facility data'!BD$4:BD$312,'Safeguard facility data'!$Q$4:$Q$312,$A34,'Safeguard facility data'!BD$4:BD$312,"&gt;0"))-(SUMIFS('Safeguard facility data'!BK$4:BK$312,'Safeguard facility data'!$Q$4:$Q$312,$A34,'Safeguard facility data'!BK$4:BK$312,"&gt;0"))</f>
        <v>67760</v>
      </c>
      <c r="E34" s="67">
        <f>(SUMIFS('Safeguard facility data'!BE$4:BE$312,'Safeguard facility data'!$Q$4:$Q$312,$A34,'Safeguard facility data'!BE$4:BE$312,"&gt;0"))-(SUMIFS('Safeguard facility data'!BL$4:BL$312,'Safeguard facility data'!$Q$4:$Q$312,$A34,'Safeguard facility data'!BL$4:BL$312,"&gt;0"))</f>
        <v>21933</v>
      </c>
      <c r="F34" s="67">
        <f>(SUMIFS('Safeguard facility data'!BF$4:BF$312,'Safeguard facility data'!$Q$4:$Q$312,$A34,'Safeguard facility data'!BF$4:BF$312,"&gt;0"))-(SUMIFS('Safeguard facility data'!BM$4:BM$312,'Safeguard facility data'!$Q$4:$Q$312,$A34,'Safeguard facility data'!BM$4:BM$312,"&gt;0"))</f>
        <v>131245</v>
      </c>
      <c r="G34" s="61">
        <f t="shared" si="2"/>
        <v>402952</v>
      </c>
      <c r="H34" s="67"/>
      <c r="I34" s="67"/>
      <c r="J34" s="67"/>
      <c r="K34" s="67"/>
      <c r="L34" s="67"/>
      <c r="M34" s="67"/>
      <c r="N34" s="67"/>
      <c r="O34" s="67"/>
      <c r="P34" s="67"/>
      <c r="Q34" s="67"/>
      <c r="R34" s="67"/>
      <c r="S34" s="67"/>
    </row>
    <row r="35" spans="1:19">
      <c r="A35" s="54" t="s">
        <v>127</v>
      </c>
      <c r="B35" s="67">
        <f>(SUMIFS('Safeguard facility data'!BB$4:BB$312,'Safeguard facility data'!$Q$4:$Q$312,$A35,'Safeguard facility data'!BB$4:BB$312,"&gt;0"))-(SUMIFS('Safeguard facility data'!BI$4:BI$312,'Safeguard facility data'!$Q$4:$Q$312,$A35,'Safeguard facility data'!BI$4:BI$312,"&gt;0"))</f>
        <v>0</v>
      </c>
      <c r="C35" s="67">
        <f>(SUMIFS('Safeguard facility data'!BC$4:BC$312,'Safeguard facility data'!$Q$4:$Q$312,$A35,'Safeguard facility data'!BC$4:BC$312,"&gt;0"))-(SUMIFS('Safeguard facility data'!BJ$4:BJ$312,'Safeguard facility data'!$Q$4:$Q$312,$A35,'Safeguard facility data'!BJ$4:BJ$312,"&gt;0"))</f>
        <v>-110612</v>
      </c>
      <c r="D35" s="67">
        <f>(SUMIFS('Safeguard facility data'!BD$4:BD$312,'Safeguard facility data'!$Q$4:$Q$312,$A35,'Safeguard facility data'!BD$4:BD$312,"&gt;0"))-(SUMIFS('Safeguard facility data'!BK$4:BK$312,'Safeguard facility data'!$Q$4:$Q$312,$A35,'Safeguard facility data'!BK$4:BK$312,"&gt;0"))</f>
        <v>139287</v>
      </c>
      <c r="E35" s="67">
        <f>(SUMIFS('Safeguard facility data'!BE$4:BE$312,'Safeguard facility data'!$Q$4:$Q$312,$A35,'Safeguard facility data'!BE$4:BE$312,"&gt;0"))-(SUMIFS('Safeguard facility data'!BL$4:BL$312,'Safeguard facility data'!$Q$4:$Q$312,$A35,'Safeguard facility data'!BL$4:BL$312,"&gt;0"))</f>
        <v>143850</v>
      </c>
      <c r="F35" s="67">
        <f>(SUMIFS('Safeguard facility data'!BF$4:BF$312,'Safeguard facility data'!$Q$4:$Q$312,$A35,'Safeguard facility data'!BF$4:BF$312,"&gt;0"))-(SUMIFS('Safeguard facility data'!BM$4:BM$312,'Safeguard facility data'!$Q$4:$Q$312,$A35,'Safeguard facility data'!BM$4:BM$312,"&gt;0"))</f>
        <v>139635</v>
      </c>
      <c r="G35" s="61">
        <f t="shared" si="2"/>
        <v>312160</v>
      </c>
      <c r="H35" s="67"/>
      <c r="I35" s="67"/>
      <c r="J35" s="67"/>
      <c r="K35" s="67"/>
      <c r="L35" s="67"/>
      <c r="M35" s="67"/>
      <c r="N35" s="67"/>
      <c r="O35" s="67"/>
      <c r="P35" s="67"/>
      <c r="Q35" s="67"/>
      <c r="R35" s="67"/>
      <c r="S35" s="67"/>
    </row>
    <row r="36" spans="1:19">
      <c r="A36" s="54" t="s">
        <v>281</v>
      </c>
      <c r="B36" s="67">
        <f>(SUMIFS('Safeguard facility data'!BB$4:BB$312,'Safeguard facility data'!$Q$4:$Q$312,$A36,'Safeguard facility data'!BB$4:BB$312,"&gt;0"))-(SUMIFS('Safeguard facility data'!BI$4:BI$312,'Safeguard facility data'!$Q$4:$Q$312,$A36,'Safeguard facility data'!BI$4:BI$312,"&gt;0"))</f>
        <v>-7942</v>
      </c>
      <c r="C36" s="67">
        <f>(SUMIFS('Safeguard facility data'!BC$4:BC$312,'Safeguard facility data'!$Q$4:$Q$312,$A36,'Safeguard facility data'!BC$4:BC$312,"&gt;0"))-(SUMIFS('Safeguard facility data'!BJ$4:BJ$312,'Safeguard facility data'!$Q$4:$Q$312,$A36,'Safeguard facility data'!BJ$4:BJ$312,"&gt;0"))</f>
        <v>18702</v>
      </c>
      <c r="D36" s="67">
        <f>(SUMIFS('Safeguard facility data'!BD$4:BD$312,'Safeguard facility data'!$Q$4:$Q$312,$A36,'Safeguard facility data'!BD$4:BD$312,"&gt;0"))-(SUMIFS('Safeguard facility data'!BK$4:BK$312,'Safeguard facility data'!$Q$4:$Q$312,$A36,'Safeguard facility data'!BK$4:BK$312,"&gt;0"))</f>
        <v>47527</v>
      </c>
      <c r="E36" s="67">
        <f>(SUMIFS('Safeguard facility data'!BE$4:BE$312,'Safeguard facility data'!$Q$4:$Q$312,$A36,'Safeguard facility data'!BE$4:BE$312,"&gt;0"))-(SUMIFS('Safeguard facility data'!BL$4:BL$312,'Safeguard facility data'!$Q$4:$Q$312,$A36,'Safeguard facility data'!BL$4:BL$312,"&gt;0"))</f>
        <v>53553</v>
      </c>
      <c r="F36" s="67">
        <f>(SUMIFS('Safeguard facility data'!BF$4:BF$312,'Safeguard facility data'!$Q$4:$Q$312,$A36,'Safeguard facility data'!BF$4:BF$312,"&gt;0"))-(SUMIFS('Safeguard facility data'!BM$4:BM$312,'Safeguard facility data'!$Q$4:$Q$312,$A36,'Safeguard facility data'!BM$4:BM$312,"&gt;0"))</f>
        <v>159748</v>
      </c>
      <c r="G36" s="61">
        <f t="shared" ref="G36:G67" si="3">SUM(B36:F36)</f>
        <v>271588</v>
      </c>
      <c r="H36" s="67"/>
      <c r="I36" s="67"/>
      <c r="J36" s="67"/>
      <c r="K36" s="67"/>
      <c r="L36" s="67"/>
      <c r="M36" s="67"/>
      <c r="N36" s="67"/>
      <c r="O36" s="67"/>
      <c r="P36" s="67"/>
      <c r="Q36" s="67"/>
      <c r="R36" s="67"/>
      <c r="S36" s="67"/>
    </row>
    <row r="37" spans="1:19">
      <c r="A37" s="54" t="s">
        <v>158</v>
      </c>
      <c r="B37" s="67">
        <f>(SUMIFS('Safeguard facility data'!BB$4:BB$312,'Safeguard facility data'!$Q$4:$Q$312,$A37,'Safeguard facility data'!BB$4:BB$312,"&gt;0"))-(SUMIFS('Safeguard facility data'!BI$4:BI$312,'Safeguard facility data'!$Q$4:$Q$312,$A37,'Safeguard facility data'!BI$4:BI$312,"&gt;0"))</f>
        <v>112301</v>
      </c>
      <c r="C37" s="67">
        <f>(SUMIFS('Safeguard facility data'!BC$4:BC$312,'Safeguard facility data'!$Q$4:$Q$312,$A37,'Safeguard facility data'!BC$4:BC$312,"&gt;0"))-(SUMIFS('Safeguard facility data'!BJ$4:BJ$312,'Safeguard facility data'!$Q$4:$Q$312,$A37,'Safeguard facility data'!BJ$4:BJ$312,"&gt;0"))</f>
        <v>-119086</v>
      </c>
      <c r="D37" s="67">
        <f>(SUMIFS('Safeguard facility data'!BD$4:BD$312,'Safeguard facility data'!$Q$4:$Q$312,$A37,'Safeguard facility data'!BD$4:BD$312,"&gt;0"))-(SUMIFS('Safeguard facility data'!BK$4:BK$312,'Safeguard facility data'!$Q$4:$Q$312,$A37,'Safeguard facility data'!BK$4:BK$312,"&gt;0"))</f>
        <v>-249955</v>
      </c>
      <c r="E37" s="67">
        <f>(SUMIFS('Safeguard facility data'!BE$4:BE$312,'Safeguard facility data'!$Q$4:$Q$312,$A37,'Safeguard facility data'!BE$4:BE$312,"&gt;0"))-(SUMIFS('Safeguard facility data'!BL$4:BL$312,'Safeguard facility data'!$Q$4:$Q$312,$A37,'Safeguard facility data'!BL$4:BL$312,"&gt;0"))</f>
        <v>157864</v>
      </c>
      <c r="F37" s="67">
        <f>(SUMIFS('Safeguard facility data'!BF$4:BF$312,'Safeguard facility data'!$Q$4:$Q$312,$A37,'Safeguard facility data'!BF$4:BF$312,"&gt;0"))-(SUMIFS('Safeguard facility data'!BM$4:BM$312,'Safeguard facility data'!$Q$4:$Q$312,$A37,'Safeguard facility data'!BM$4:BM$312,"&gt;0"))</f>
        <v>357821</v>
      </c>
      <c r="G37" s="61">
        <f t="shared" si="3"/>
        <v>258945</v>
      </c>
      <c r="H37" s="67"/>
      <c r="I37" s="67"/>
      <c r="J37" s="67"/>
      <c r="K37" s="67"/>
      <c r="L37" s="67"/>
      <c r="M37" s="67"/>
      <c r="N37" s="67"/>
      <c r="O37" s="67"/>
      <c r="P37" s="67"/>
      <c r="Q37" s="67"/>
      <c r="R37" s="67"/>
      <c r="S37" s="67"/>
    </row>
    <row r="38" spans="1:19">
      <c r="A38" s="54" t="s">
        <v>50</v>
      </c>
      <c r="B38" s="67">
        <f>(SUMIFS('Safeguard facility data'!BB$4:BB$312,'Safeguard facility data'!$Q$4:$Q$312,$A38,'Safeguard facility data'!BB$4:BB$312,"&gt;0"))-(SUMIFS('Safeguard facility data'!BI$4:BI$312,'Safeguard facility data'!$Q$4:$Q$312,$A38,'Safeguard facility data'!BI$4:BI$312,"&gt;0"))</f>
        <v>21680</v>
      </c>
      <c r="C38" s="67">
        <f>(SUMIFS('Safeguard facility data'!BC$4:BC$312,'Safeguard facility data'!$Q$4:$Q$312,$A38,'Safeguard facility data'!BC$4:BC$312,"&gt;0"))-(SUMIFS('Safeguard facility data'!BJ$4:BJ$312,'Safeguard facility data'!$Q$4:$Q$312,$A38,'Safeguard facility data'!BJ$4:BJ$312,"&gt;0"))</f>
        <v>-3313</v>
      </c>
      <c r="D38" s="67">
        <f>(SUMIFS('Safeguard facility data'!BD$4:BD$312,'Safeguard facility data'!$Q$4:$Q$312,$A38,'Safeguard facility data'!BD$4:BD$312,"&gt;0"))-(SUMIFS('Safeguard facility data'!BK$4:BK$312,'Safeguard facility data'!$Q$4:$Q$312,$A38,'Safeguard facility data'!BK$4:BK$312,"&gt;0"))</f>
        <v>55379</v>
      </c>
      <c r="E38" s="67">
        <f>(SUMIFS('Safeguard facility data'!BE$4:BE$312,'Safeguard facility data'!$Q$4:$Q$312,$A38,'Safeguard facility data'!BE$4:BE$312,"&gt;0"))-(SUMIFS('Safeguard facility data'!BL$4:BL$312,'Safeguard facility data'!$Q$4:$Q$312,$A38,'Safeguard facility data'!BL$4:BL$312,"&gt;0"))</f>
        <v>59551</v>
      </c>
      <c r="F38" s="67">
        <f>(SUMIFS('Safeguard facility data'!BF$4:BF$312,'Safeguard facility data'!$Q$4:$Q$312,$A38,'Safeguard facility data'!BF$4:BF$312,"&gt;0"))-(SUMIFS('Safeguard facility data'!BM$4:BM$312,'Safeguard facility data'!$Q$4:$Q$312,$A38,'Safeguard facility data'!BM$4:BM$312,"&gt;0"))</f>
        <v>44503</v>
      </c>
      <c r="G38" s="61">
        <f t="shared" si="3"/>
        <v>177800</v>
      </c>
      <c r="H38" s="67"/>
      <c r="I38" s="67"/>
      <c r="J38" s="67"/>
      <c r="K38" s="67"/>
      <c r="L38" s="67"/>
      <c r="M38" s="67"/>
      <c r="N38" s="67"/>
      <c r="O38" s="67"/>
      <c r="P38" s="67"/>
      <c r="Q38" s="67"/>
      <c r="R38" s="67"/>
      <c r="S38" s="67"/>
    </row>
    <row r="39" spans="1:19">
      <c r="A39" s="54" t="s">
        <v>226</v>
      </c>
      <c r="B39" s="67">
        <f>(SUMIFS('Safeguard facility data'!BB$4:BB$312,'Safeguard facility data'!$Q$4:$Q$312,$A39,'Safeguard facility data'!BB$4:BB$312,"&gt;0"))-(SUMIFS('Safeguard facility data'!BI$4:BI$312,'Safeguard facility data'!$Q$4:$Q$312,$A39,'Safeguard facility data'!BI$4:BI$312,"&gt;0"))</f>
        <v>30031</v>
      </c>
      <c r="C39" s="67">
        <f>(SUMIFS('Safeguard facility data'!BC$4:BC$312,'Safeguard facility data'!$Q$4:$Q$312,$A39,'Safeguard facility data'!BC$4:BC$312,"&gt;0"))-(SUMIFS('Safeguard facility data'!BJ$4:BJ$312,'Safeguard facility data'!$Q$4:$Q$312,$A39,'Safeguard facility data'!BJ$4:BJ$312,"&gt;0"))</f>
        <v>10435</v>
      </c>
      <c r="D39" s="67">
        <f>(SUMIFS('Safeguard facility data'!BD$4:BD$312,'Safeguard facility data'!$Q$4:$Q$312,$A39,'Safeguard facility data'!BD$4:BD$312,"&gt;0"))-(SUMIFS('Safeguard facility data'!BK$4:BK$312,'Safeguard facility data'!$Q$4:$Q$312,$A39,'Safeguard facility data'!BK$4:BK$312,"&gt;0"))</f>
        <v>20318</v>
      </c>
      <c r="E39" s="67">
        <f>(SUMIFS('Safeguard facility data'!BE$4:BE$312,'Safeguard facility data'!$Q$4:$Q$312,$A39,'Safeguard facility data'!BE$4:BE$312,"&gt;0"))-(SUMIFS('Safeguard facility data'!BL$4:BL$312,'Safeguard facility data'!$Q$4:$Q$312,$A39,'Safeguard facility data'!BL$4:BL$312,"&gt;0"))</f>
        <v>23954</v>
      </c>
      <c r="F39" s="67">
        <f>(SUMIFS('Safeguard facility data'!BF$4:BF$312,'Safeguard facility data'!$Q$4:$Q$312,$A39,'Safeguard facility data'!BF$4:BF$312,"&gt;0"))-(SUMIFS('Safeguard facility data'!BM$4:BM$312,'Safeguard facility data'!$Q$4:$Q$312,$A39,'Safeguard facility data'!BM$4:BM$312,"&gt;0"))</f>
        <v>49034</v>
      </c>
      <c r="G39" s="61">
        <f t="shared" si="3"/>
        <v>133772</v>
      </c>
      <c r="H39" s="67"/>
      <c r="I39" s="67"/>
      <c r="J39" s="67"/>
      <c r="K39" s="67"/>
      <c r="L39" s="67"/>
      <c r="M39" s="67"/>
      <c r="N39" s="67"/>
      <c r="O39" s="67"/>
      <c r="P39" s="67"/>
      <c r="Q39" s="67"/>
      <c r="R39" s="67"/>
      <c r="S39" s="67"/>
    </row>
    <row r="40" spans="1:19">
      <c r="A40" s="54" t="s">
        <v>213</v>
      </c>
      <c r="B40" s="67">
        <f>(SUMIFS('Safeguard facility data'!BB$4:BB$312,'Safeguard facility data'!$Q$4:$Q$312,$A40,'Safeguard facility data'!BB$4:BB$312,"&gt;0"))-(SUMIFS('Safeguard facility data'!BI$4:BI$312,'Safeguard facility data'!$Q$4:$Q$312,$A40,'Safeguard facility data'!BI$4:BI$312,"&gt;0"))</f>
        <v>21684</v>
      </c>
      <c r="C40" s="67">
        <f>(SUMIFS('Safeguard facility data'!BC$4:BC$312,'Safeguard facility data'!$Q$4:$Q$312,$A40,'Safeguard facility data'!BC$4:BC$312,"&gt;0"))-(SUMIFS('Safeguard facility data'!BJ$4:BJ$312,'Safeguard facility data'!$Q$4:$Q$312,$A40,'Safeguard facility data'!BJ$4:BJ$312,"&gt;0"))</f>
        <v>3729</v>
      </c>
      <c r="D40" s="67">
        <f>(SUMIFS('Safeguard facility data'!BD$4:BD$312,'Safeguard facility data'!$Q$4:$Q$312,$A40,'Safeguard facility data'!BD$4:BD$312,"&gt;0"))-(SUMIFS('Safeguard facility data'!BK$4:BK$312,'Safeguard facility data'!$Q$4:$Q$312,$A40,'Safeguard facility data'!BK$4:BK$312,"&gt;0"))</f>
        <v>5913</v>
      </c>
      <c r="E40" s="67">
        <f>(SUMIFS('Safeguard facility data'!BE$4:BE$312,'Safeguard facility data'!$Q$4:$Q$312,$A40,'Safeguard facility data'!BE$4:BE$312,"&gt;0"))-(SUMIFS('Safeguard facility data'!BL$4:BL$312,'Safeguard facility data'!$Q$4:$Q$312,$A40,'Safeguard facility data'!BL$4:BL$312,"&gt;0"))</f>
        <v>11842</v>
      </c>
      <c r="F40" s="67">
        <f>(SUMIFS('Safeguard facility data'!BF$4:BF$312,'Safeguard facility data'!$Q$4:$Q$312,$A40,'Safeguard facility data'!BF$4:BF$312,"&gt;0"))-(SUMIFS('Safeguard facility data'!BM$4:BM$312,'Safeguard facility data'!$Q$4:$Q$312,$A40,'Safeguard facility data'!BM$4:BM$312,"&gt;0"))</f>
        <v>47057</v>
      </c>
      <c r="G40" s="61">
        <f t="shared" si="3"/>
        <v>90225</v>
      </c>
      <c r="H40" s="67"/>
      <c r="I40" s="67"/>
      <c r="J40" s="67"/>
      <c r="K40" s="67"/>
      <c r="L40" s="67"/>
      <c r="M40" s="67"/>
      <c r="N40" s="67"/>
      <c r="O40" s="67"/>
      <c r="P40" s="67"/>
      <c r="Q40" s="67"/>
      <c r="R40" s="67"/>
      <c r="S40" s="67"/>
    </row>
    <row r="41" spans="1:19">
      <c r="A41" s="54" t="s">
        <v>140</v>
      </c>
      <c r="B41" s="67">
        <f>(SUMIFS('Safeguard facility data'!BB$4:BB$312,'Safeguard facility data'!$Q$4:$Q$312,$A41,'Safeguard facility data'!BB$4:BB$312,"&gt;0"))-(SUMIFS('Safeguard facility data'!BI$4:BI$312,'Safeguard facility data'!$Q$4:$Q$312,$A41,'Safeguard facility data'!BI$4:BI$312,"&gt;0"))</f>
        <v>-43319</v>
      </c>
      <c r="C41" s="67">
        <f>(SUMIFS('Safeguard facility data'!BC$4:BC$312,'Safeguard facility data'!$Q$4:$Q$312,$A41,'Safeguard facility data'!BC$4:BC$312,"&gt;0"))-(SUMIFS('Safeguard facility data'!BJ$4:BJ$312,'Safeguard facility data'!$Q$4:$Q$312,$A41,'Safeguard facility data'!BJ$4:BJ$312,"&gt;0"))</f>
        <v>1307</v>
      </c>
      <c r="D41" s="67">
        <f>(SUMIFS('Safeguard facility data'!BD$4:BD$312,'Safeguard facility data'!$Q$4:$Q$312,$A41,'Safeguard facility data'!BD$4:BD$312,"&gt;0"))-(SUMIFS('Safeguard facility data'!BK$4:BK$312,'Safeguard facility data'!$Q$4:$Q$312,$A41,'Safeguard facility data'!BK$4:BK$312,"&gt;0"))</f>
        <v>19991</v>
      </c>
      <c r="E41" s="67">
        <f>(SUMIFS('Safeguard facility data'!BE$4:BE$312,'Safeguard facility data'!$Q$4:$Q$312,$A41,'Safeguard facility data'!BE$4:BE$312,"&gt;0"))-(SUMIFS('Safeguard facility data'!BL$4:BL$312,'Safeguard facility data'!$Q$4:$Q$312,$A41,'Safeguard facility data'!BL$4:BL$312,"&gt;0"))</f>
        <v>17532</v>
      </c>
      <c r="F41" s="67">
        <f>(SUMIFS('Safeguard facility data'!BF$4:BF$312,'Safeguard facility data'!$Q$4:$Q$312,$A41,'Safeguard facility data'!BF$4:BF$312,"&gt;0"))-(SUMIFS('Safeguard facility data'!BM$4:BM$312,'Safeguard facility data'!$Q$4:$Q$312,$A41,'Safeguard facility data'!BM$4:BM$312,"&gt;0"))</f>
        <v>89519</v>
      </c>
      <c r="G41" s="61">
        <f t="shared" si="3"/>
        <v>85030</v>
      </c>
      <c r="H41" s="67"/>
      <c r="I41" s="67"/>
      <c r="J41" s="67"/>
      <c r="K41" s="67"/>
      <c r="L41" s="67"/>
      <c r="M41" s="67"/>
      <c r="N41" s="67"/>
      <c r="O41" s="67"/>
      <c r="P41" s="67"/>
      <c r="Q41" s="67"/>
      <c r="R41" s="67"/>
      <c r="S41" s="67"/>
    </row>
    <row r="42" spans="1:19">
      <c r="A42" s="54" t="s">
        <v>279</v>
      </c>
      <c r="B42" s="67">
        <f>(SUMIFS('Safeguard facility data'!BB$4:BB$312,'Safeguard facility data'!$Q$4:$Q$312,$A42,'Safeguard facility data'!BB$4:BB$312,"&gt;0"))-(SUMIFS('Safeguard facility data'!BI$4:BI$312,'Safeguard facility data'!$Q$4:$Q$312,$A42,'Safeguard facility data'!BI$4:BI$312,"&gt;0"))</f>
        <v>15510</v>
      </c>
      <c r="C42" s="67">
        <f>(SUMIFS('Safeguard facility data'!BC$4:BC$312,'Safeguard facility data'!$Q$4:$Q$312,$A42,'Safeguard facility data'!BC$4:BC$312,"&gt;0"))-(SUMIFS('Safeguard facility data'!BJ$4:BJ$312,'Safeguard facility data'!$Q$4:$Q$312,$A42,'Safeguard facility data'!BJ$4:BJ$312,"&gt;0"))</f>
        <v>7065</v>
      </c>
      <c r="D42" s="67">
        <f>(SUMIFS('Safeguard facility data'!BD$4:BD$312,'Safeguard facility data'!$Q$4:$Q$312,$A42,'Safeguard facility data'!BD$4:BD$312,"&gt;0"))-(SUMIFS('Safeguard facility data'!BK$4:BK$312,'Safeguard facility data'!$Q$4:$Q$312,$A42,'Safeguard facility data'!BK$4:BK$312,"&gt;0"))</f>
        <v>-652</v>
      </c>
      <c r="E42" s="67">
        <f>(SUMIFS('Safeguard facility data'!BE$4:BE$312,'Safeguard facility data'!$Q$4:$Q$312,$A42,'Safeguard facility data'!BE$4:BE$312,"&gt;0"))-(SUMIFS('Safeguard facility data'!BL$4:BL$312,'Safeguard facility data'!$Q$4:$Q$312,$A42,'Safeguard facility data'!BL$4:BL$312,"&gt;0"))</f>
        <v>8888</v>
      </c>
      <c r="F42" s="67">
        <f>(SUMIFS('Safeguard facility data'!BF$4:BF$312,'Safeguard facility data'!$Q$4:$Q$312,$A42,'Safeguard facility data'!BF$4:BF$312,"&gt;0"))-(SUMIFS('Safeguard facility data'!BM$4:BM$312,'Safeguard facility data'!$Q$4:$Q$312,$A42,'Safeguard facility data'!BM$4:BM$312,"&gt;0"))</f>
        <v>20362</v>
      </c>
      <c r="G42" s="61">
        <f t="shared" si="3"/>
        <v>51173</v>
      </c>
      <c r="H42" s="67"/>
      <c r="I42" s="67"/>
      <c r="J42" s="67"/>
      <c r="K42" s="67"/>
      <c r="L42" s="67"/>
      <c r="M42" s="67"/>
      <c r="N42" s="67"/>
      <c r="O42" s="67"/>
      <c r="P42" s="67"/>
      <c r="Q42" s="67"/>
      <c r="R42" s="67"/>
      <c r="S42" s="67"/>
    </row>
    <row r="43" spans="1:19">
      <c r="A43" s="54" t="s">
        <v>163</v>
      </c>
      <c r="B43" s="67">
        <f>(SUMIFS('Safeguard facility data'!BB$4:BB$312,'Safeguard facility data'!$Q$4:$Q$312,$A43,'Safeguard facility data'!BB$4:BB$312,"&gt;0"))-(SUMIFS('Safeguard facility data'!BI$4:BI$312,'Safeguard facility data'!$Q$4:$Q$312,$A43,'Safeguard facility data'!BI$4:BI$312,"&gt;0"))</f>
        <v>0</v>
      </c>
      <c r="C43" s="67">
        <f>(SUMIFS('Safeguard facility data'!BC$4:BC$312,'Safeguard facility data'!$Q$4:$Q$312,$A43,'Safeguard facility data'!BC$4:BC$312,"&gt;0"))-(SUMIFS('Safeguard facility data'!BJ$4:BJ$312,'Safeguard facility data'!$Q$4:$Q$312,$A43,'Safeguard facility data'!BJ$4:BJ$312,"&gt;0"))</f>
        <v>0</v>
      </c>
      <c r="D43" s="67">
        <f>(SUMIFS('Safeguard facility data'!BD$4:BD$312,'Safeguard facility data'!$Q$4:$Q$312,$A43,'Safeguard facility data'!BD$4:BD$312,"&gt;0"))-(SUMIFS('Safeguard facility data'!BK$4:BK$312,'Safeguard facility data'!$Q$4:$Q$312,$A43,'Safeguard facility data'!BK$4:BK$312,"&gt;0"))</f>
        <v>0</v>
      </c>
      <c r="E43" s="67">
        <f>(SUMIFS('Safeguard facility data'!BE$4:BE$312,'Safeguard facility data'!$Q$4:$Q$312,$A43,'Safeguard facility data'!BE$4:BE$312,"&gt;0"))-(SUMIFS('Safeguard facility data'!BL$4:BL$312,'Safeguard facility data'!$Q$4:$Q$312,$A43,'Safeguard facility data'!BL$4:BL$312,"&gt;0"))</f>
        <v>-14387</v>
      </c>
      <c r="F43" s="67">
        <f>(SUMIFS('Safeguard facility data'!BF$4:BF$312,'Safeguard facility data'!$Q$4:$Q$312,$A43,'Safeguard facility data'!BF$4:BF$312,"&gt;0"))-(SUMIFS('Safeguard facility data'!BM$4:BM$312,'Safeguard facility data'!$Q$4:$Q$312,$A43,'Safeguard facility data'!BM$4:BM$312,"&gt;0"))</f>
        <v>52875</v>
      </c>
      <c r="G43" s="61">
        <f t="shared" si="3"/>
        <v>38488</v>
      </c>
      <c r="H43" s="67"/>
      <c r="I43" s="67"/>
      <c r="J43" s="67"/>
      <c r="K43" s="67"/>
      <c r="L43" s="67"/>
      <c r="M43" s="67"/>
      <c r="N43" s="67"/>
      <c r="O43" s="67"/>
      <c r="P43" s="67"/>
      <c r="Q43" s="67"/>
      <c r="R43" s="67"/>
      <c r="S43" s="67"/>
    </row>
    <row r="44" spans="1:19">
      <c r="A44" s="54" t="s">
        <v>283</v>
      </c>
      <c r="B44" s="67">
        <f>(SUMIFS('Safeguard facility data'!BB$4:BB$312,'Safeguard facility data'!$Q$4:$Q$312,$A44,'Safeguard facility data'!BB$4:BB$312,"&gt;0"))-(SUMIFS('Safeguard facility data'!BI$4:BI$312,'Safeguard facility data'!$Q$4:$Q$312,$A44,'Safeguard facility data'!BI$4:BI$312,"&gt;0"))</f>
        <v>-7639</v>
      </c>
      <c r="C44" s="67">
        <f>(SUMIFS('Safeguard facility data'!BC$4:BC$312,'Safeguard facility data'!$Q$4:$Q$312,$A44,'Safeguard facility data'!BC$4:BC$312,"&gt;0"))-(SUMIFS('Safeguard facility data'!BJ$4:BJ$312,'Safeguard facility data'!$Q$4:$Q$312,$A44,'Safeguard facility data'!BJ$4:BJ$312,"&gt;0"))</f>
        <v>-10416</v>
      </c>
      <c r="D44" s="67">
        <f>(SUMIFS('Safeguard facility data'!BD$4:BD$312,'Safeguard facility data'!$Q$4:$Q$312,$A44,'Safeguard facility data'!BD$4:BD$312,"&gt;0"))-(SUMIFS('Safeguard facility data'!BK$4:BK$312,'Safeguard facility data'!$Q$4:$Q$312,$A44,'Safeguard facility data'!BK$4:BK$312,"&gt;0"))</f>
        <v>-12572</v>
      </c>
      <c r="E44" s="67">
        <f>(SUMIFS('Safeguard facility data'!BE$4:BE$312,'Safeguard facility data'!$Q$4:$Q$312,$A44,'Safeguard facility data'!BE$4:BE$312,"&gt;0"))-(SUMIFS('Safeguard facility data'!BL$4:BL$312,'Safeguard facility data'!$Q$4:$Q$312,$A44,'Safeguard facility data'!BL$4:BL$312,"&gt;0"))</f>
        <v>7059</v>
      </c>
      <c r="F44" s="67">
        <f>(SUMIFS('Safeguard facility data'!BF$4:BF$312,'Safeguard facility data'!$Q$4:$Q$312,$A44,'Safeguard facility data'!BF$4:BF$312,"&gt;0"))-(SUMIFS('Safeguard facility data'!BM$4:BM$312,'Safeguard facility data'!$Q$4:$Q$312,$A44,'Safeguard facility data'!BM$4:BM$312,"&gt;0"))</f>
        <v>32154</v>
      </c>
      <c r="G44" s="61">
        <f t="shared" si="3"/>
        <v>8586</v>
      </c>
      <c r="H44" s="67"/>
      <c r="I44" s="67"/>
      <c r="J44" s="67"/>
      <c r="K44" s="67"/>
      <c r="L44" s="67"/>
      <c r="M44" s="67"/>
      <c r="N44" s="67"/>
      <c r="O44" s="67"/>
      <c r="P44" s="67"/>
      <c r="Q44" s="67"/>
      <c r="R44" s="67"/>
      <c r="S44" s="67"/>
    </row>
    <row r="45" spans="1:19">
      <c r="A45" s="54" t="s">
        <v>230</v>
      </c>
      <c r="B45" s="67">
        <f>(SUMIFS('Safeguard facility data'!BB$4:BB$312,'Safeguard facility data'!$Q$4:$Q$312,$A45,'Safeguard facility data'!BB$4:BB$312,"&gt;0"))-(SUMIFS('Safeguard facility data'!BI$4:BI$312,'Safeguard facility data'!$Q$4:$Q$312,$A45,'Safeguard facility data'!BI$4:BI$312,"&gt;0"))</f>
        <v>0</v>
      </c>
      <c r="C45" s="67">
        <f>(SUMIFS('Safeguard facility data'!BC$4:BC$312,'Safeguard facility data'!$Q$4:$Q$312,$A45,'Safeguard facility data'!BC$4:BC$312,"&gt;0"))-(SUMIFS('Safeguard facility data'!BJ$4:BJ$312,'Safeguard facility data'!$Q$4:$Q$312,$A45,'Safeguard facility data'!BJ$4:BJ$312,"&gt;0"))</f>
        <v>0</v>
      </c>
      <c r="D45" s="67">
        <f>(SUMIFS('Safeguard facility data'!BD$4:BD$312,'Safeguard facility data'!$Q$4:$Q$312,$A45,'Safeguard facility data'!BD$4:BD$312,"&gt;0"))-(SUMIFS('Safeguard facility data'!BK$4:BK$312,'Safeguard facility data'!$Q$4:$Q$312,$A45,'Safeguard facility data'!BK$4:BK$312,"&gt;0"))</f>
        <v>0</v>
      </c>
      <c r="E45" s="67">
        <f>(SUMIFS('Safeguard facility data'!BE$4:BE$312,'Safeguard facility data'!$Q$4:$Q$312,$A45,'Safeguard facility data'!BE$4:BE$312,"&gt;0"))-(SUMIFS('Safeguard facility data'!BL$4:BL$312,'Safeguard facility data'!$Q$4:$Q$312,$A45,'Safeguard facility data'!BL$4:BL$312,"&gt;0"))</f>
        <v>0</v>
      </c>
      <c r="F45" s="67">
        <f>(SUMIFS('Safeguard facility data'!BF$4:BF$312,'Safeguard facility data'!$Q$4:$Q$312,$A45,'Safeguard facility data'!BF$4:BF$312,"&gt;0"))-(SUMIFS('Safeguard facility data'!BM$4:BM$312,'Safeguard facility data'!$Q$4:$Q$312,$A45,'Safeguard facility data'!BM$4:BM$312,"&gt;0"))</f>
        <v>0</v>
      </c>
      <c r="G45" s="61">
        <f t="shared" si="3"/>
        <v>0</v>
      </c>
      <c r="H45" s="67"/>
      <c r="I45" s="67"/>
      <c r="J45" s="67"/>
      <c r="K45" s="67"/>
      <c r="L45" s="67"/>
      <c r="M45" s="67"/>
      <c r="N45" s="67"/>
      <c r="O45" s="67"/>
      <c r="P45" s="67"/>
      <c r="Q45" s="67"/>
      <c r="R45" s="67"/>
      <c r="S45" s="67"/>
    </row>
    <row r="46" spans="1:19">
      <c r="A46" s="54" t="s">
        <v>135</v>
      </c>
      <c r="B46" s="67">
        <f>(SUMIFS('Safeguard facility data'!BB$4:BB$312,'Safeguard facility data'!$Q$4:$Q$312,$A46,'Safeguard facility data'!BB$4:BB$312,"&gt;0"))-(SUMIFS('Safeguard facility data'!BI$4:BI$312,'Safeguard facility data'!$Q$4:$Q$312,$A46,'Safeguard facility data'!BI$4:BI$312,"&gt;0"))</f>
        <v>0</v>
      </c>
      <c r="C46" s="67">
        <f>(SUMIFS('Safeguard facility data'!BC$4:BC$312,'Safeguard facility data'!$Q$4:$Q$312,$A46,'Safeguard facility data'!BC$4:BC$312,"&gt;0"))-(SUMIFS('Safeguard facility data'!BJ$4:BJ$312,'Safeguard facility data'!$Q$4:$Q$312,$A46,'Safeguard facility data'!BJ$4:BJ$312,"&gt;0"))</f>
        <v>0</v>
      </c>
      <c r="D46" s="67">
        <f>(SUMIFS('Safeguard facility data'!BD$4:BD$312,'Safeguard facility data'!$Q$4:$Q$312,$A46,'Safeguard facility data'!BD$4:BD$312,"&gt;0"))-(SUMIFS('Safeguard facility data'!BK$4:BK$312,'Safeguard facility data'!$Q$4:$Q$312,$A46,'Safeguard facility data'!BK$4:BK$312,"&gt;0"))</f>
        <v>0</v>
      </c>
      <c r="E46" s="67">
        <f>(SUMIFS('Safeguard facility data'!BE$4:BE$312,'Safeguard facility data'!$Q$4:$Q$312,$A46,'Safeguard facility data'!BE$4:BE$312,"&gt;0"))-(SUMIFS('Safeguard facility data'!BL$4:BL$312,'Safeguard facility data'!$Q$4:$Q$312,$A46,'Safeguard facility data'!BL$4:BL$312,"&gt;0"))</f>
        <v>0</v>
      </c>
      <c r="F46" s="67">
        <f>(SUMIFS('Safeguard facility data'!BF$4:BF$312,'Safeguard facility data'!$Q$4:$Q$312,$A46,'Safeguard facility data'!BF$4:BF$312,"&gt;0"))-(SUMIFS('Safeguard facility data'!BM$4:BM$312,'Safeguard facility data'!$Q$4:$Q$312,$A46,'Safeguard facility data'!BM$4:BM$312,"&gt;0"))</f>
        <v>0</v>
      </c>
      <c r="G46" s="61">
        <f t="shared" si="3"/>
        <v>0</v>
      </c>
      <c r="H46" s="67"/>
      <c r="I46" s="67"/>
      <c r="J46" s="67"/>
      <c r="K46" s="67"/>
      <c r="L46" s="67"/>
      <c r="M46" s="67"/>
      <c r="N46" s="67"/>
      <c r="O46" s="67"/>
      <c r="P46" s="67"/>
      <c r="Q46" s="67"/>
      <c r="R46" s="67"/>
      <c r="S46" s="67"/>
    </row>
    <row r="47" spans="1:19">
      <c r="A47" s="54" t="s">
        <v>273</v>
      </c>
      <c r="B47" s="67">
        <f>(SUMIFS('Safeguard facility data'!BB$4:BB$312,'Safeguard facility data'!$Q$4:$Q$312,$A47,'Safeguard facility data'!BB$4:BB$312,"&gt;0"))-(SUMIFS('Safeguard facility data'!BI$4:BI$312,'Safeguard facility data'!$Q$4:$Q$312,$A47,'Safeguard facility data'!BI$4:BI$312,"&gt;0"))</f>
        <v>0</v>
      </c>
      <c r="C47" s="67">
        <f>(SUMIFS('Safeguard facility data'!BC$4:BC$312,'Safeguard facility data'!$Q$4:$Q$312,$A47,'Safeguard facility data'!BC$4:BC$312,"&gt;0"))-(SUMIFS('Safeguard facility data'!BJ$4:BJ$312,'Safeguard facility data'!$Q$4:$Q$312,$A47,'Safeguard facility data'!BJ$4:BJ$312,"&gt;0"))</f>
        <v>0</v>
      </c>
      <c r="D47" s="67">
        <f>(SUMIFS('Safeguard facility data'!BD$4:BD$312,'Safeguard facility data'!$Q$4:$Q$312,$A47,'Safeguard facility data'!BD$4:BD$312,"&gt;0"))-(SUMIFS('Safeguard facility data'!BK$4:BK$312,'Safeguard facility data'!$Q$4:$Q$312,$A47,'Safeguard facility data'!BK$4:BK$312,"&gt;0"))</f>
        <v>0</v>
      </c>
      <c r="E47" s="67">
        <f>(SUMIFS('Safeguard facility data'!BE$4:BE$312,'Safeguard facility data'!$Q$4:$Q$312,$A47,'Safeguard facility data'!BE$4:BE$312,"&gt;0"))-(SUMIFS('Safeguard facility data'!BL$4:BL$312,'Safeguard facility data'!$Q$4:$Q$312,$A47,'Safeguard facility data'!BL$4:BL$312,"&gt;0"))</f>
        <v>0</v>
      </c>
      <c r="F47" s="67">
        <f>(SUMIFS('Safeguard facility data'!BF$4:BF$312,'Safeguard facility data'!$Q$4:$Q$312,$A47,'Safeguard facility data'!BF$4:BF$312,"&gt;0"))-(SUMIFS('Safeguard facility data'!BM$4:BM$312,'Safeguard facility data'!$Q$4:$Q$312,$A47,'Safeguard facility data'!BM$4:BM$312,"&gt;0"))</f>
        <v>0</v>
      </c>
      <c r="G47" s="61">
        <f t="shared" si="3"/>
        <v>0</v>
      </c>
      <c r="H47" s="67"/>
      <c r="I47" s="67"/>
      <c r="J47" s="67"/>
      <c r="K47" s="67"/>
      <c r="L47" s="67"/>
      <c r="M47" s="67"/>
      <c r="N47" s="67"/>
      <c r="O47" s="67"/>
      <c r="P47" s="67"/>
      <c r="Q47" s="67"/>
      <c r="R47" s="67"/>
      <c r="S47" s="67"/>
    </row>
    <row r="48" spans="1:19">
      <c r="A48" s="54" t="s">
        <v>28</v>
      </c>
      <c r="B48" s="67">
        <f>(SUMIFS('Safeguard facility data'!BB$4:BB$312,'Safeguard facility data'!$Q$4:$Q$312,$A48,'Safeguard facility data'!BB$4:BB$312,"&gt;0"))-(SUMIFS('Safeguard facility data'!BI$4:BI$312,'Safeguard facility data'!$Q$4:$Q$312,$A48,'Safeguard facility data'!BI$4:BI$312,"&gt;0"))</f>
        <v>0</v>
      </c>
      <c r="C48" s="67">
        <f>(SUMIFS('Safeguard facility data'!BC$4:BC$312,'Safeguard facility data'!$Q$4:$Q$312,$A48,'Safeguard facility data'!BC$4:BC$312,"&gt;0"))-(SUMIFS('Safeguard facility data'!BJ$4:BJ$312,'Safeguard facility data'!$Q$4:$Q$312,$A48,'Safeguard facility data'!BJ$4:BJ$312,"&gt;0"))</f>
        <v>0</v>
      </c>
      <c r="D48" s="67">
        <f>(SUMIFS('Safeguard facility data'!BD$4:BD$312,'Safeguard facility data'!$Q$4:$Q$312,$A48,'Safeguard facility data'!BD$4:BD$312,"&gt;0"))-(SUMIFS('Safeguard facility data'!BK$4:BK$312,'Safeguard facility data'!$Q$4:$Q$312,$A48,'Safeguard facility data'!BK$4:BK$312,"&gt;0"))</f>
        <v>0</v>
      </c>
      <c r="E48" s="67">
        <f>(SUMIFS('Safeguard facility data'!BE$4:BE$312,'Safeguard facility data'!$Q$4:$Q$312,$A48,'Safeguard facility data'!BE$4:BE$312,"&gt;0"))-(SUMIFS('Safeguard facility data'!BL$4:BL$312,'Safeguard facility data'!$Q$4:$Q$312,$A48,'Safeguard facility data'!BL$4:BL$312,"&gt;0"))</f>
        <v>0</v>
      </c>
      <c r="F48" s="67">
        <f>(SUMIFS('Safeguard facility data'!BF$4:BF$312,'Safeguard facility data'!$Q$4:$Q$312,$A48,'Safeguard facility data'!BF$4:BF$312,"&gt;0"))-(SUMIFS('Safeguard facility data'!BM$4:BM$312,'Safeguard facility data'!$Q$4:$Q$312,$A48,'Safeguard facility data'!BM$4:BM$312,"&gt;0"))</f>
        <v>0</v>
      </c>
      <c r="G48" s="61">
        <f t="shared" si="3"/>
        <v>0</v>
      </c>
      <c r="H48" s="67"/>
      <c r="I48" s="67"/>
      <c r="J48" s="67"/>
      <c r="K48" s="67"/>
      <c r="L48" s="67"/>
      <c r="M48" s="67"/>
      <c r="N48" s="67"/>
      <c r="O48" s="67"/>
      <c r="P48" s="67"/>
      <c r="Q48" s="67"/>
      <c r="R48" s="67"/>
      <c r="S48" s="67"/>
    </row>
    <row r="49" spans="1:19">
      <c r="A49" s="54" t="s">
        <v>88</v>
      </c>
      <c r="B49" s="67">
        <f>(SUMIFS('Safeguard facility data'!BB$4:BB$312,'Safeguard facility data'!$Q$4:$Q$312,$A49,'Safeguard facility data'!BB$4:BB$312,"&gt;0"))-(SUMIFS('Safeguard facility data'!BI$4:BI$312,'Safeguard facility data'!$Q$4:$Q$312,$A49,'Safeguard facility data'!BI$4:BI$312,"&gt;0"))</f>
        <v>0</v>
      </c>
      <c r="C49" s="67">
        <f>(SUMIFS('Safeguard facility data'!BC$4:BC$312,'Safeguard facility data'!$Q$4:$Q$312,$A49,'Safeguard facility data'!BC$4:BC$312,"&gt;0"))-(SUMIFS('Safeguard facility data'!BJ$4:BJ$312,'Safeguard facility data'!$Q$4:$Q$312,$A49,'Safeguard facility data'!BJ$4:BJ$312,"&gt;0"))</f>
        <v>0</v>
      </c>
      <c r="D49" s="67">
        <f>(SUMIFS('Safeguard facility data'!BD$4:BD$312,'Safeguard facility data'!$Q$4:$Q$312,$A49,'Safeguard facility data'!BD$4:BD$312,"&gt;0"))-(SUMIFS('Safeguard facility data'!BK$4:BK$312,'Safeguard facility data'!$Q$4:$Q$312,$A49,'Safeguard facility data'!BK$4:BK$312,"&gt;0"))</f>
        <v>0</v>
      </c>
      <c r="E49" s="67">
        <f>(SUMIFS('Safeguard facility data'!BE$4:BE$312,'Safeguard facility data'!$Q$4:$Q$312,$A49,'Safeguard facility data'!BE$4:BE$312,"&gt;0"))-(SUMIFS('Safeguard facility data'!BL$4:BL$312,'Safeguard facility data'!$Q$4:$Q$312,$A49,'Safeguard facility data'!BL$4:BL$312,"&gt;0"))</f>
        <v>0</v>
      </c>
      <c r="F49" s="67">
        <f>(SUMIFS('Safeguard facility data'!BF$4:BF$312,'Safeguard facility data'!$Q$4:$Q$312,$A49,'Safeguard facility data'!BF$4:BF$312,"&gt;0"))-(SUMIFS('Safeguard facility data'!BM$4:BM$312,'Safeguard facility data'!$Q$4:$Q$312,$A49,'Safeguard facility data'!BM$4:BM$312,"&gt;0"))</f>
        <v>0</v>
      </c>
      <c r="G49" s="61">
        <f t="shared" si="3"/>
        <v>0</v>
      </c>
      <c r="H49" s="67"/>
      <c r="I49" s="67"/>
      <c r="J49" s="67"/>
      <c r="K49" s="67"/>
      <c r="L49" s="67"/>
      <c r="M49" s="67"/>
      <c r="N49" s="67"/>
      <c r="O49" s="67"/>
      <c r="P49" s="67"/>
      <c r="Q49" s="67"/>
      <c r="R49" s="67"/>
      <c r="S49" s="67"/>
    </row>
    <row r="50" spans="1:19">
      <c r="A50" s="54" t="s">
        <v>91</v>
      </c>
      <c r="B50" s="67">
        <f>(SUMIFS('Safeguard facility data'!BB$4:BB$312,'Safeguard facility data'!$Q$4:$Q$312,$A50,'Safeguard facility data'!BB$4:BB$312,"&gt;0"))-(SUMIFS('Safeguard facility data'!BI$4:BI$312,'Safeguard facility data'!$Q$4:$Q$312,$A50,'Safeguard facility data'!BI$4:BI$312,"&gt;0"))</f>
        <v>0</v>
      </c>
      <c r="C50" s="67">
        <f>(SUMIFS('Safeguard facility data'!BC$4:BC$312,'Safeguard facility data'!$Q$4:$Q$312,$A50,'Safeguard facility data'!BC$4:BC$312,"&gt;0"))-(SUMIFS('Safeguard facility data'!BJ$4:BJ$312,'Safeguard facility data'!$Q$4:$Q$312,$A50,'Safeguard facility data'!BJ$4:BJ$312,"&gt;0"))</f>
        <v>0</v>
      </c>
      <c r="D50" s="67">
        <f>(SUMIFS('Safeguard facility data'!BD$4:BD$312,'Safeguard facility data'!$Q$4:$Q$312,$A50,'Safeguard facility data'!BD$4:BD$312,"&gt;0"))-(SUMIFS('Safeguard facility data'!BK$4:BK$312,'Safeguard facility data'!$Q$4:$Q$312,$A50,'Safeguard facility data'!BK$4:BK$312,"&gt;0"))</f>
        <v>0</v>
      </c>
      <c r="E50" s="67">
        <f>(SUMIFS('Safeguard facility data'!BE$4:BE$312,'Safeguard facility data'!$Q$4:$Q$312,$A50,'Safeguard facility data'!BE$4:BE$312,"&gt;0"))-(SUMIFS('Safeguard facility data'!BL$4:BL$312,'Safeguard facility data'!$Q$4:$Q$312,$A50,'Safeguard facility data'!BL$4:BL$312,"&gt;0"))</f>
        <v>0</v>
      </c>
      <c r="F50" s="67">
        <f>(SUMIFS('Safeguard facility data'!BF$4:BF$312,'Safeguard facility data'!$Q$4:$Q$312,$A50,'Safeguard facility data'!BF$4:BF$312,"&gt;0"))-(SUMIFS('Safeguard facility data'!BM$4:BM$312,'Safeguard facility data'!$Q$4:$Q$312,$A50,'Safeguard facility data'!BM$4:BM$312,"&gt;0"))</f>
        <v>0</v>
      </c>
      <c r="G50" s="61">
        <f t="shared" si="3"/>
        <v>0</v>
      </c>
      <c r="H50" s="67"/>
      <c r="I50" s="67"/>
      <c r="J50" s="67"/>
      <c r="K50" s="67"/>
      <c r="L50" s="67"/>
      <c r="M50" s="67"/>
      <c r="N50" s="67"/>
      <c r="O50" s="67"/>
      <c r="P50" s="67"/>
      <c r="Q50" s="67"/>
      <c r="R50" s="67"/>
      <c r="S50" s="67"/>
    </row>
    <row r="51" spans="1:19">
      <c r="A51" s="54" t="s">
        <v>141</v>
      </c>
      <c r="B51" s="67">
        <f>(SUMIFS('Safeguard facility data'!BB$4:BB$312,'Safeguard facility data'!$Q$4:$Q$312,$A51,'Safeguard facility data'!BB$4:BB$312,"&gt;0"))-(SUMIFS('Safeguard facility data'!BI$4:BI$312,'Safeguard facility data'!$Q$4:$Q$312,$A51,'Safeguard facility data'!BI$4:BI$312,"&gt;0"))</f>
        <v>0</v>
      </c>
      <c r="C51" s="67">
        <f>(SUMIFS('Safeguard facility data'!BC$4:BC$312,'Safeguard facility data'!$Q$4:$Q$312,$A51,'Safeguard facility data'!BC$4:BC$312,"&gt;0"))-(SUMIFS('Safeguard facility data'!BJ$4:BJ$312,'Safeguard facility data'!$Q$4:$Q$312,$A51,'Safeguard facility data'!BJ$4:BJ$312,"&gt;0"))</f>
        <v>0</v>
      </c>
      <c r="D51" s="67">
        <f>(SUMIFS('Safeguard facility data'!BD$4:BD$312,'Safeguard facility data'!$Q$4:$Q$312,$A51,'Safeguard facility data'!BD$4:BD$312,"&gt;0"))-(SUMIFS('Safeguard facility data'!BK$4:BK$312,'Safeguard facility data'!$Q$4:$Q$312,$A51,'Safeguard facility data'!BK$4:BK$312,"&gt;0"))</f>
        <v>0</v>
      </c>
      <c r="E51" s="67">
        <f>(SUMIFS('Safeguard facility data'!BE$4:BE$312,'Safeguard facility data'!$Q$4:$Q$312,$A51,'Safeguard facility data'!BE$4:BE$312,"&gt;0"))-(SUMIFS('Safeguard facility data'!BL$4:BL$312,'Safeguard facility data'!$Q$4:$Q$312,$A51,'Safeguard facility data'!BL$4:BL$312,"&gt;0"))</f>
        <v>0</v>
      </c>
      <c r="F51" s="67">
        <f>(SUMIFS('Safeguard facility data'!BF$4:BF$312,'Safeguard facility data'!$Q$4:$Q$312,$A51,'Safeguard facility data'!BF$4:BF$312,"&gt;0"))-(SUMIFS('Safeguard facility data'!BM$4:BM$312,'Safeguard facility data'!$Q$4:$Q$312,$A51,'Safeguard facility data'!BM$4:BM$312,"&gt;0"))</f>
        <v>0</v>
      </c>
      <c r="G51" s="61">
        <f t="shared" si="3"/>
        <v>0</v>
      </c>
      <c r="H51" s="67"/>
      <c r="I51" s="67"/>
      <c r="J51" s="67"/>
      <c r="K51" s="67"/>
      <c r="L51" s="67"/>
      <c r="M51" s="67"/>
      <c r="N51" s="67"/>
      <c r="O51" s="67"/>
      <c r="P51" s="67"/>
      <c r="Q51" s="67"/>
      <c r="R51" s="67"/>
      <c r="S51" s="67"/>
    </row>
    <row r="52" spans="1:19">
      <c r="A52" s="54" t="s">
        <v>142</v>
      </c>
      <c r="B52" s="67">
        <f>(SUMIFS('Safeguard facility data'!BB$4:BB$312,'Safeguard facility data'!$Q$4:$Q$312,$A52,'Safeguard facility data'!BB$4:BB$312,"&gt;0"))-(SUMIFS('Safeguard facility data'!BI$4:BI$312,'Safeguard facility data'!$Q$4:$Q$312,$A52,'Safeguard facility data'!BI$4:BI$312,"&gt;0"))</f>
        <v>0</v>
      </c>
      <c r="C52" s="67">
        <f>(SUMIFS('Safeguard facility data'!BC$4:BC$312,'Safeguard facility data'!$Q$4:$Q$312,$A52,'Safeguard facility data'!BC$4:BC$312,"&gt;0"))-(SUMIFS('Safeguard facility data'!BJ$4:BJ$312,'Safeguard facility data'!$Q$4:$Q$312,$A52,'Safeguard facility data'!BJ$4:BJ$312,"&gt;0"))</f>
        <v>0</v>
      </c>
      <c r="D52" s="67">
        <f>(SUMIFS('Safeguard facility data'!BD$4:BD$312,'Safeguard facility data'!$Q$4:$Q$312,$A52,'Safeguard facility data'!BD$4:BD$312,"&gt;0"))-(SUMIFS('Safeguard facility data'!BK$4:BK$312,'Safeguard facility data'!$Q$4:$Q$312,$A52,'Safeguard facility data'!BK$4:BK$312,"&gt;0"))</f>
        <v>0</v>
      </c>
      <c r="E52" s="67">
        <f>(SUMIFS('Safeguard facility data'!BE$4:BE$312,'Safeguard facility data'!$Q$4:$Q$312,$A52,'Safeguard facility data'!BE$4:BE$312,"&gt;0"))-(SUMIFS('Safeguard facility data'!BL$4:BL$312,'Safeguard facility data'!$Q$4:$Q$312,$A52,'Safeguard facility data'!BL$4:BL$312,"&gt;0"))</f>
        <v>0</v>
      </c>
      <c r="F52" s="67">
        <f>(SUMIFS('Safeguard facility data'!BF$4:BF$312,'Safeguard facility data'!$Q$4:$Q$312,$A52,'Safeguard facility data'!BF$4:BF$312,"&gt;0"))-(SUMIFS('Safeguard facility data'!BM$4:BM$312,'Safeguard facility data'!$Q$4:$Q$312,$A52,'Safeguard facility data'!BM$4:BM$312,"&gt;0"))</f>
        <v>0</v>
      </c>
      <c r="G52" s="61">
        <f t="shared" si="3"/>
        <v>0</v>
      </c>
      <c r="H52" s="67"/>
      <c r="I52" s="67"/>
      <c r="J52" s="67"/>
      <c r="K52" s="67"/>
      <c r="L52" s="67"/>
      <c r="M52" s="67"/>
      <c r="N52" s="67"/>
      <c r="O52" s="67"/>
      <c r="P52" s="67"/>
      <c r="Q52" s="67"/>
      <c r="R52" s="67"/>
      <c r="S52" s="67"/>
    </row>
    <row r="53" spans="1:19">
      <c r="A53" s="54" t="s">
        <v>231</v>
      </c>
      <c r="B53" s="67">
        <f>(SUMIFS('Safeguard facility data'!BB$4:BB$312,'Safeguard facility data'!$Q$4:$Q$312,$A53,'Safeguard facility data'!BB$4:BB$312,"&gt;0"))-(SUMIFS('Safeguard facility data'!BI$4:BI$312,'Safeguard facility data'!$Q$4:$Q$312,$A53,'Safeguard facility data'!BI$4:BI$312,"&gt;0"))</f>
        <v>0</v>
      </c>
      <c r="C53" s="67">
        <f>(SUMIFS('Safeguard facility data'!BC$4:BC$312,'Safeguard facility data'!$Q$4:$Q$312,$A53,'Safeguard facility data'!BC$4:BC$312,"&gt;0"))-(SUMIFS('Safeguard facility data'!BJ$4:BJ$312,'Safeguard facility data'!$Q$4:$Q$312,$A53,'Safeguard facility data'!BJ$4:BJ$312,"&gt;0"))</f>
        <v>0</v>
      </c>
      <c r="D53" s="67">
        <f>(SUMIFS('Safeguard facility data'!BD$4:BD$312,'Safeguard facility data'!$Q$4:$Q$312,$A53,'Safeguard facility data'!BD$4:BD$312,"&gt;0"))-(SUMIFS('Safeguard facility data'!BK$4:BK$312,'Safeguard facility data'!$Q$4:$Q$312,$A53,'Safeguard facility data'!BK$4:BK$312,"&gt;0"))</f>
        <v>0</v>
      </c>
      <c r="E53" s="67">
        <f>(SUMIFS('Safeguard facility data'!BE$4:BE$312,'Safeguard facility data'!$Q$4:$Q$312,$A53,'Safeguard facility data'!BE$4:BE$312,"&gt;0"))-(SUMIFS('Safeguard facility data'!BL$4:BL$312,'Safeguard facility data'!$Q$4:$Q$312,$A53,'Safeguard facility data'!BL$4:BL$312,"&gt;0"))</f>
        <v>0</v>
      </c>
      <c r="F53" s="67">
        <f>(SUMIFS('Safeguard facility data'!BF$4:BF$312,'Safeguard facility data'!$Q$4:$Q$312,$A53,'Safeguard facility data'!BF$4:BF$312,"&gt;0"))-(SUMIFS('Safeguard facility data'!BM$4:BM$312,'Safeguard facility data'!$Q$4:$Q$312,$A53,'Safeguard facility data'!BM$4:BM$312,"&gt;0"))</f>
        <v>0</v>
      </c>
      <c r="G53" s="61">
        <f t="shared" si="3"/>
        <v>0</v>
      </c>
      <c r="H53" s="67"/>
      <c r="I53" s="67"/>
      <c r="J53" s="67"/>
      <c r="K53" s="67"/>
      <c r="L53" s="67"/>
      <c r="M53" s="67"/>
      <c r="N53" s="67"/>
      <c r="O53" s="67"/>
      <c r="P53" s="67"/>
      <c r="Q53" s="67"/>
      <c r="R53" s="67"/>
      <c r="S53" s="67"/>
    </row>
    <row r="54" spans="1:19">
      <c r="A54" s="54" t="s">
        <v>143</v>
      </c>
      <c r="B54" s="67">
        <f>(SUMIFS('Safeguard facility data'!BB$4:BB$312,'Safeguard facility data'!$Q$4:$Q$312,$A54,'Safeguard facility data'!BB$4:BB$312,"&gt;0"))-(SUMIFS('Safeguard facility data'!BI$4:BI$312,'Safeguard facility data'!$Q$4:$Q$312,$A54,'Safeguard facility data'!BI$4:BI$312,"&gt;0"))</f>
        <v>0</v>
      </c>
      <c r="C54" s="67">
        <f>(SUMIFS('Safeguard facility data'!BC$4:BC$312,'Safeguard facility data'!$Q$4:$Q$312,$A54,'Safeguard facility data'!BC$4:BC$312,"&gt;0"))-(SUMIFS('Safeguard facility data'!BJ$4:BJ$312,'Safeguard facility data'!$Q$4:$Q$312,$A54,'Safeguard facility data'!BJ$4:BJ$312,"&gt;0"))</f>
        <v>0</v>
      </c>
      <c r="D54" s="67">
        <f>(SUMIFS('Safeguard facility data'!BD$4:BD$312,'Safeguard facility data'!$Q$4:$Q$312,$A54,'Safeguard facility data'!BD$4:BD$312,"&gt;0"))-(SUMIFS('Safeguard facility data'!BK$4:BK$312,'Safeguard facility data'!$Q$4:$Q$312,$A54,'Safeguard facility data'!BK$4:BK$312,"&gt;0"))</f>
        <v>0</v>
      </c>
      <c r="E54" s="67">
        <f>(SUMIFS('Safeguard facility data'!BE$4:BE$312,'Safeguard facility data'!$Q$4:$Q$312,$A54,'Safeguard facility data'!BE$4:BE$312,"&gt;0"))-(SUMIFS('Safeguard facility data'!BL$4:BL$312,'Safeguard facility data'!$Q$4:$Q$312,$A54,'Safeguard facility data'!BL$4:BL$312,"&gt;0"))</f>
        <v>0</v>
      </c>
      <c r="F54" s="67">
        <f>(SUMIFS('Safeguard facility data'!BF$4:BF$312,'Safeguard facility data'!$Q$4:$Q$312,$A54,'Safeguard facility data'!BF$4:BF$312,"&gt;0"))-(SUMIFS('Safeguard facility data'!BM$4:BM$312,'Safeguard facility data'!$Q$4:$Q$312,$A54,'Safeguard facility data'!BM$4:BM$312,"&gt;0"))</f>
        <v>0</v>
      </c>
      <c r="G54" s="61">
        <f t="shared" si="3"/>
        <v>0</v>
      </c>
      <c r="H54" s="67"/>
      <c r="I54" s="67"/>
      <c r="J54" s="67"/>
      <c r="K54" s="67"/>
      <c r="L54" s="67"/>
      <c r="M54" s="67"/>
      <c r="N54" s="67"/>
      <c r="O54" s="67"/>
      <c r="P54" s="67"/>
      <c r="Q54" s="67"/>
      <c r="R54" s="67"/>
      <c r="S54" s="67"/>
    </row>
    <row r="55" spans="1:19">
      <c r="A55" s="54" t="s">
        <v>144</v>
      </c>
      <c r="B55" s="67">
        <f>(SUMIFS('Safeguard facility data'!BB$4:BB$312,'Safeguard facility data'!$Q$4:$Q$312,$A55,'Safeguard facility data'!BB$4:BB$312,"&gt;0"))-(SUMIFS('Safeguard facility data'!BI$4:BI$312,'Safeguard facility data'!$Q$4:$Q$312,$A55,'Safeguard facility data'!BI$4:BI$312,"&gt;0"))</f>
        <v>0</v>
      </c>
      <c r="C55" s="67">
        <f>(SUMIFS('Safeguard facility data'!BC$4:BC$312,'Safeguard facility data'!$Q$4:$Q$312,$A55,'Safeguard facility data'!BC$4:BC$312,"&gt;0"))-(SUMIFS('Safeguard facility data'!BJ$4:BJ$312,'Safeguard facility data'!$Q$4:$Q$312,$A55,'Safeguard facility data'!BJ$4:BJ$312,"&gt;0"))</f>
        <v>0</v>
      </c>
      <c r="D55" s="67">
        <f>(SUMIFS('Safeguard facility data'!BD$4:BD$312,'Safeguard facility data'!$Q$4:$Q$312,$A55,'Safeguard facility data'!BD$4:BD$312,"&gt;0"))-(SUMIFS('Safeguard facility data'!BK$4:BK$312,'Safeguard facility data'!$Q$4:$Q$312,$A55,'Safeguard facility data'!BK$4:BK$312,"&gt;0"))</f>
        <v>0</v>
      </c>
      <c r="E55" s="67">
        <f>(SUMIFS('Safeguard facility data'!BE$4:BE$312,'Safeguard facility data'!$Q$4:$Q$312,$A55,'Safeguard facility data'!BE$4:BE$312,"&gt;0"))-(SUMIFS('Safeguard facility data'!BL$4:BL$312,'Safeguard facility data'!$Q$4:$Q$312,$A55,'Safeguard facility data'!BL$4:BL$312,"&gt;0"))</f>
        <v>0</v>
      </c>
      <c r="F55" s="67">
        <f>(SUMIFS('Safeguard facility data'!BF$4:BF$312,'Safeguard facility data'!$Q$4:$Q$312,$A55,'Safeguard facility data'!BF$4:BF$312,"&gt;0"))-(SUMIFS('Safeguard facility data'!BM$4:BM$312,'Safeguard facility data'!$Q$4:$Q$312,$A55,'Safeguard facility data'!BM$4:BM$312,"&gt;0"))</f>
        <v>0</v>
      </c>
      <c r="G55" s="61">
        <f t="shared" si="3"/>
        <v>0</v>
      </c>
      <c r="H55" s="67"/>
      <c r="I55" s="67"/>
      <c r="J55" s="67"/>
      <c r="K55" s="67"/>
      <c r="L55" s="67"/>
      <c r="M55" s="67"/>
      <c r="N55" s="67"/>
      <c r="O55" s="67"/>
      <c r="P55" s="67"/>
      <c r="Q55" s="67"/>
      <c r="R55" s="67"/>
      <c r="S55" s="67"/>
    </row>
    <row r="56" spans="1:19">
      <c r="A56" s="54" t="s">
        <v>145</v>
      </c>
      <c r="B56" s="67">
        <f>(SUMIFS('Safeguard facility data'!BB$4:BB$312,'Safeguard facility data'!$Q$4:$Q$312,$A56,'Safeguard facility data'!BB$4:BB$312,"&gt;0"))-(SUMIFS('Safeguard facility data'!BI$4:BI$312,'Safeguard facility data'!$Q$4:$Q$312,$A56,'Safeguard facility data'!BI$4:BI$312,"&gt;0"))</f>
        <v>0</v>
      </c>
      <c r="C56" s="67">
        <f>(SUMIFS('Safeguard facility data'!BC$4:BC$312,'Safeguard facility data'!$Q$4:$Q$312,$A56,'Safeguard facility data'!BC$4:BC$312,"&gt;0"))-(SUMIFS('Safeguard facility data'!BJ$4:BJ$312,'Safeguard facility data'!$Q$4:$Q$312,$A56,'Safeguard facility data'!BJ$4:BJ$312,"&gt;0"))</f>
        <v>0</v>
      </c>
      <c r="D56" s="67">
        <f>(SUMIFS('Safeguard facility data'!BD$4:BD$312,'Safeguard facility data'!$Q$4:$Q$312,$A56,'Safeguard facility data'!BD$4:BD$312,"&gt;0"))-(SUMIFS('Safeguard facility data'!BK$4:BK$312,'Safeguard facility data'!$Q$4:$Q$312,$A56,'Safeguard facility data'!BK$4:BK$312,"&gt;0"))</f>
        <v>0</v>
      </c>
      <c r="E56" s="67">
        <f>(SUMIFS('Safeguard facility data'!BE$4:BE$312,'Safeguard facility data'!$Q$4:$Q$312,$A56,'Safeguard facility data'!BE$4:BE$312,"&gt;0"))-(SUMIFS('Safeguard facility data'!BL$4:BL$312,'Safeguard facility data'!$Q$4:$Q$312,$A56,'Safeguard facility data'!BL$4:BL$312,"&gt;0"))</f>
        <v>0</v>
      </c>
      <c r="F56" s="67">
        <f>(SUMIFS('Safeguard facility data'!BF$4:BF$312,'Safeguard facility data'!$Q$4:$Q$312,$A56,'Safeguard facility data'!BF$4:BF$312,"&gt;0"))-(SUMIFS('Safeguard facility data'!BM$4:BM$312,'Safeguard facility data'!$Q$4:$Q$312,$A56,'Safeguard facility data'!BM$4:BM$312,"&gt;0"))</f>
        <v>0</v>
      </c>
      <c r="G56" s="61">
        <f t="shared" si="3"/>
        <v>0</v>
      </c>
      <c r="H56" s="67"/>
      <c r="I56" s="67"/>
      <c r="J56" s="67"/>
      <c r="K56" s="67"/>
      <c r="L56" s="67"/>
      <c r="M56" s="67"/>
      <c r="N56" s="67"/>
      <c r="O56" s="67"/>
      <c r="P56" s="67"/>
      <c r="Q56" s="67"/>
      <c r="R56" s="67"/>
      <c r="S56" s="67"/>
    </row>
    <row r="57" spans="1:19">
      <c r="A57" s="54" t="s">
        <v>232</v>
      </c>
      <c r="B57" s="67">
        <f>(SUMIFS('Safeguard facility data'!BB$4:BB$312,'Safeguard facility data'!$Q$4:$Q$312,$A57,'Safeguard facility data'!BB$4:BB$312,"&gt;0"))-(SUMIFS('Safeguard facility data'!BI$4:BI$312,'Safeguard facility data'!$Q$4:$Q$312,$A57,'Safeguard facility data'!BI$4:BI$312,"&gt;0"))</f>
        <v>0</v>
      </c>
      <c r="C57" s="67">
        <f>(SUMIFS('Safeguard facility data'!BC$4:BC$312,'Safeguard facility data'!$Q$4:$Q$312,$A57,'Safeguard facility data'!BC$4:BC$312,"&gt;0"))-(SUMIFS('Safeguard facility data'!BJ$4:BJ$312,'Safeguard facility data'!$Q$4:$Q$312,$A57,'Safeguard facility data'!BJ$4:BJ$312,"&gt;0"))</f>
        <v>0</v>
      </c>
      <c r="D57" s="67">
        <f>(SUMIFS('Safeguard facility data'!BD$4:BD$312,'Safeguard facility data'!$Q$4:$Q$312,$A57,'Safeguard facility data'!BD$4:BD$312,"&gt;0"))-(SUMIFS('Safeguard facility data'!BK$4:BK$312,'Safeguard facility data'!$Q$4:$Q$312,$A57,'Safeguard facility data'!BK$4:BK$312,"&gt;0"))</f>
        <v>0</v>
      </c>
      <c r="E57" s="67">
        <f>(SUMIFS('Safeguard facility data'!BE$4:BE$312,'Safeguard facility data'!$Q$4:$Q$312,$A57,'Safeguard facility data'!BE$4:BE$312,"&gt;0"))-(SUMIFS('Safeguard facility data'!BL$4:BL$312,'Safeguard facility data'!$Q$4:$Q$312,$A57,'Safeguard facility data'!BL$4:BL$312,"&gt;0"))</f>
        <v>0</v>
      </c>
      <c r="F57" s="67">
        <f>(SUMIFS('Safeguard facility data'!BF$4:BF$312,'Safeguard facility data'!$Q$4:$Q$312,$A57,'Safeguard facility data'!BF$4:BF$312,"&gt;0"))-(SUMIFS('Safeguard facility data'!BM$4:BM$312,'Safeguard facility data'!$Q$4:$Q$312,$A57,'Safeguard facility data'!BM$4:BM$312,"&gt;0"))</f>
        <v>0</v>
      </c>
      <c r="G57" s="61">
        <f t="shared" si="3"/>
        <v>0</v>
      </c>
      <c r="H57" s="67"/>
      <c r="I57" s="67"/>
      <c r="J57" s="67"/>
      <c r="K57" s="67"/>
      <c r="L57" s="67"/>
      <c r="M57" s="67"/>
      <c r="N57" s="67"/>
      <c r="O57" s="67"/>
      <c r="P57" s="67"/>
      <c r="Q57" s="67"/>
      <c r="R57" s="67"/>
      <c r="S57" s="67"/>
    </row>
    <row r="58" spans="1:19">
      <c r="A58" s="54" t="s">
        <v>146</v>
      </c>
      <c r="B58" s="67">
        <f>(SUMIFS('Safeguard facility data'!BB$4:BB$312,'Safeguard facility data'!$Q$4:$Q$312,$A58,'Safeguard facility data'!BB$4:BB$312,"&gt;0"))-(SUMIFS('Safeguard facility data'!BI$4:BI$312,'Safeguard facility data'!$Q$4:$Q$312,$A58,'Safeguard facility data'!BI$4:BI$312,"&gt;0"))</f>
        <v>0</v>
      </c>
      <c r="C58" s="67">
        <f>(SUMIFS('Safeguard facility data'!BC$4:BC$312,'Safeguard facility data'!$Q$4:$Q$312,$A58,'Safeguard facility data'!BC$4:BC$312,"&gt;0"))-(SUMIFS('Safeguard facility data'!BJ$4:BJ$312,'Safeguard facility data'!$Q$4:$Q$312,$A58,'Safeguard facility data'!BJ$4:BJ$312,"&gt;0"))</f>
        <v>0</v>
      </c>
      <c r="D58" s="67">
        <f>(SUMIFS('Safeguard facility data'!BD$4:BD$312,'Safeguard facility data'!$Q$4:$Q$312,$A58,'Safeguard facility data'!BD$4:BD$312,"&gt;0"))-(SUMIFS('Safeguard facility data'!BK$4:BK$312,'Safeguard facility data'!$Q$4:$Q$312,$A58,'Safeguard facility data'!BK$4:BK$312,"&gt;0"))</f>
        <v>0</v>
      </c>
      <c r="E58" s="67">
        <f>(SUMIFS('Safeguard facility data'!BE$4:BE$312,'Safeguard facility data'!$Q$4:$Q$312,$A58,'Safeguard facility data'!BE$4:BE$312,"&gt;0"))-(SUMIFS('Safeguard facility data'!BL$4:BL$312,'Safeguard facility data'!$Q$4:$Q$312,$A58,'Safeguard facility data'!BL$4:BL$312,"&gt;0"))</f>
        <v>0</v>
      </c>
      <c r="F58" s="67">
        <f>(SUMIFS('Safeguard facility data'!BF$4:BF$312,'Safeguard facility data'!$Q$4:$Q$312,$A58,'Safeguard facility data'!BF$4:BF$312,"&gt;0"))-(SUMIFS('Safeguard facility data'!BM$4:BM$312,'Safeguard facility data'!$Q$4:$Q$312,$A58,'Safeguard facility data'!BM$4:BM$312,"&gt;0"))</f>
        <v>0</v>
      </c>
      <c r="G58" s="61">
        <f t="shared" si="3"/>
        <v>0</v>
      </c>
      <c r="H58" s="67"/>
      <c r="I58" s="67"/>
      <c r="J58" s="67"/>
      <c r="K58" s="67"/>
      <c r="L58" s="67"/>
      <c r="M58" s="67"/>
      <c r="N58" s="67"/>
      <c r="O58" s="67"/>
      <c r="P58" s="67"/>
      <c r="Q58" s="67"/>
      <c r="R58" s="67"/>
      <c r="S58" s="67"/>
    </row>
    <row r="59" spans="1:19">
      <c r="A59" s="54" t="s">
        <v>147</v>
      </c>
      <c r="B59" s="67">
        <f>(SUMIFS('Safeguard facility data'!BB$4:BB$312,'Safeguard facility data'!$Q$4:$Q$312,$A59,'Safeguard facility data'!BB$4:BB$312,"&gt;0"))-(SUMIFS('Safeguard facility data'!BI$4:BI$312,'Safeguard facility data'!$Q$4:$Q$312,$A59,'Safeguard facility data'!BI$4:BI$312,"&gt;0"))</f>
        <v>0</v>
      </c>
      <c r="C59" s="67">
        <f>(SUMIFS('Safeguard facility data'!BC$4:BC$312,'Safeguard facility data'!$Q$4:$Q$312,$A59,'Safeguard facility data'!BC$4:BC$312,"&gt;0"))-(SUMIFS('Safeguard facility data'!BJ$4:BJ$312,'Safeguard facility data'!$Q$4:$Q$312,$A59,'Safeguard facility data'!BJ$4:BJ$312,"&gt;0"))</f>
        <v>0</v>
      </c>
      <c r="D59" s="67">
        <f>(SUMIFS('Safeguard facility data'!BD$4:BD$312,'Safeguard facility data'!$Q$4:$Q$312,$A59,'Safeguard facility data'!BD$4:BD$312,"&gt;0"))-(SUMIFS('Safeguard facility data'!BK$4:BK$312,'Safeguard facility data'!$Q$4:$Q$312,$A59,'Safeguard facility data'!BK$4:BK$312,"&gt;0"))</f>
        <v>0</v>
      </c>
      <c r="E59" s="67">
        <f>(SUMIFS('Safeguard facility data'!BE$4:BE$312,'Safeguard facility data'!$Q$4:$Q$312,$A59,'Safeguard facility data'!BE$4:BE$312,"&gt;0"))-(SUMIFS('Safeguard facility data'!BL$4:BL$312,'Safeguard facility data'!$Q$4:$Q$312,$A59,'Safeguard facility data'!BL$4:BL$312,"&gt;0"))</f>
        <v>0</v>
      </c>
      <c r="F59" s="67">
        <f>(SUMIFS('Safeguard facility data'!BF$4:BF$312,'Safeguard facility data'!$Q$4:$Q$312,$A59,'Safeguard facility data'!BF$4:BF$312,"&gt;0"))-(SUMIFS('Safeguard facility data'!BM$4:BM$312,'Safeguard facility data'!$Q$4:$Q$312,$A59,'Safeguard facility data'!BM$4:BM$312,"&gt;0"))</f>
        <v>0</v>
      </c>
      <c r="G59" s="61">
        <f t="shared" si="3"/>
        <v>0</v>
      </c>
      <c r="H59" s="67"/>
      <c r="I59" s="67"/>
      <c r="J59" s="67"/>
      <c r="K59" s="67"/>
      <c r="L59" s="67"/>
      <c r="M59" s="67"/>
      <c r="N59" s="67"/>
      <c r="O59" s="67"/>
      <c r="P59" s="67"/>
      <c r="Q59" s="67"/>
      <c r="R59" s="67"/>
      <c r="S59" s="67"/>
    </row>
    <row r="60" spans="1:19">
      <c r="A60" s="54" t="s">
        <v>148</v>
      </c>
      <c r="B60" s="67">
        <f>(SUMIFS('Safeguard facility data'!BB$4:BB$312,'Safeguard facility data'!$Q$4:$Q$312,$A60,'Safeguard facility data'!BB$4:BB$312,"&gt;0"))-(SUMIFS('Safeguard facility data'!BI$4:BI$312,'Safeguard facility data'!$Q$4:$Q$312,$A60,'Safeguard facility data'!BI$4:BI$312,"&gt;0"))</f>
        <v>0</v>
      </c>
      <c r="C60" s="67">
        <f>(SUMIFS('Safeguard facility data'!BC$4:BC$312,'Safeguard facility data'!$Q$4:$Q$312,$A60,'Safeguard facility data'!BC$4:BC$312,"&gt;0"))-(SUMIFS('Safeguard facility data'!BJ$4:BJ$312,'Safeguard facility data'!$Q$4:$Q$312,$A60,'Safeguard facility data'!BJ$4:BJ$312,"&gt;0"))</f>
        <v>0</v>
      </c>
      <c r="D60" s="67">
        <f>(SUMIFS('Safeguard facility data'!BD$4:BD$312,'Safeguard facility data'!$Q$4:$Q$312,$A60,'Safeguard facility data'!BD$4:BD$312,"&gt;0"))-(SUMIFS('Safeguard facility data'!BK$4:BK$312,'Safeguard facility data'!$Q$4:$Q$312,$A60,'Safeguard facility data'!BK$4:BK$312,"&gt;0"))</f>
        <v>0</v>
      </c>
      <c r="E60" s="67">
        <f>(SUMIFS('Safeguard facility data'!BE$4:BE$312,'Safeguard facility data'!$Q$4:$Q$312,$A60,'Safeguard facility data'!BE$4:BE$312,"&gt;0"))-(SUMIFS('Safeguard facility data'!BL$4:BL$312,'Safeguard facility data'!$Q$4:$Q$312,$A60,'Safeguard facility data'!BL$4:BL$312,"&gt;0"))</f>
        <v>0</v>
      </c>
      <c r="F60" s="67">
        <f>(SUMIFS('Safeguard facility data'!BF$4:BF$312,'Safeguard facility data'!$Q$4:$Q$312,$A60,'Safeguard facility data'!BF$4:BF$312,"&gt;0"))-(SUMIFS('Safeguard facility data'!BM$4:BM$312,'Safeguard facility data'!$Q$4:$Q$312,$A60,'Safeguard facility data'!BM$4:BM$312,"&gt;0"))</f>
        <v>0</v>
      </c>
      <c r="G60" s="61">
        <f t="shared" si="3"/>
        <v>0</v>
      </c>
      <c r="H60" s="67"/>
      <c r="I60" s="67"/>
      <c r="J60" s="67"/>
      <c r="K60" s="67"/>
      <c r="L60" s="67"/>
      <c r="M60" s="67"/>
      <c r="N60" s="67"/>
      <c r="O60" s="67"/>
      <c r="P60" s="67"/>
      <c r="Q60" s="67"/>
      <c r="R60" s="67"/>
      <c r="S60" s="67"/>
    </row>
    <row r="61" spans="1:19">
      <c r="A61" s="54" t="s">
        <v>149</v>
      </c>
      <c r="B61" s="67">
        <f>(SUMIFS('Safeguard facility data'!BB$4:BB$312,'Safeguard facility data'!$Q$4:$Q$312,$A61,'Safeguard facility data'!BB$4:BB$312,"&gt;0"))-(SUMIFS('Safeguard facility data'!BI$4:BI$312,'Safeguard facility data'!$Q$4:$Q$312,$A61,'Safeguard facility data'!BI$4:BI$312,"&gt;0"))</f>
        <v>0</v>
      </c>
      <c r="C61" s="67">
        <f>(SUMIFS('Safeguard facility data'!BC$4:BC$312,'Safeguard facility data'!$Q$4:$Q$312,$A61,'Safeguard facility data'!BC$4:BC$312,"&gt;0"))-(SUMIFS('Safeguard facility data'!BJ$4:BJ$312,'Safeguard facility data'!$Q$4:$Q$312,$A61,'Safeguard facility data'!BJ$4:BJ$312,"&gt;0"))</f>
        <v>0</v>
      </c>
      <c r="D61" s="67">
        <f>(SUMIFS('Safeguard facility data'!BD$4:BD$312,'Safeguard facility data'!$Q$4:$Q$312,$A61,'Safeguard facility data'!BD$4:BD$312,"&gt;0"))-(SUMIFS('Safeguard facility data'!BK$4:BK$312,'Safeguard facility data'!$Q$4:$Q$312,$A61,'Safeguard facility data'!BK$4:BK$312,"&gt;0"))</f>
        <v>0</v>
      </c>
      <c r="E61" s="67">
        <f>(SUMIFS('Safeguard facility data'!BE$4:BE$312,'Safeguard facility data'!$Q$4:$Q$312,$A61,'Safeguard facility data'!BE$4:BE$312,"&gt;0"))-(SUMIFS('Safeguard facility data'!BL$4:BL$312,'Safeguard facility data'!$Q$4:$Q$312,$A61,'Safeguard facility data'!BL$4:BL$312,"&gt;0"))</f>
        <v>0</v>
      </c>
      <c r="F61" s="67">
        <f>(SUMIFS('Safeguard facility data'!BF$4:BF$312,'Safeguard facility data'!$Q$4:$Q$312,$A61,'Safeguard facility data'!BF$4:BF$312,"&gt;0"))-(SUMIFS('Safeguard facility data'!BM$4:BM$312,'Safeguard facility data'!$Q$4:$Q$312,$A61,'Safeguard facility data'!BM$4:BM$312,"&gt;0"))</f>
        <v>0</v>
      </c>
      <c r="G61" s="61">
        <f t="shared" si="3"/>
        <v>0</v>
      </c>
      <c r="H61" s="67"/>
      <c r="I61" s="67"/>
      <c r="J61" s="67"/>
      <c r="K61" s="67"/>
      <c r="L61" s="67"/>
      <c r="M61" s="67"/>
      <c r="N61" s="67"/>
      <c r="O61" s="67"/>
      <c r="P61" s="67"/>
      <c r="Q61" s="67"/>
      <c r="R61" s="67"/>
      <c r="S61" s="67"/>
    </row>
    <row r="62" spans="1:19">
      <c r="A62" s="54" t="s">
        <v>150</v>
      </c>
      <c r="B62" s="67">
        <f>(SUMIFS('Safeguard facility data'!BB$4:BB$312,'Safeguard facility data'!$Q$4:$Q$312,$A62,'Safeguard facility data'!BB$4:BB$312,"&gt;0"))-(SUMIFS('Safeguard facility data'!BI$4:BI$312,'Safeguard facility data'!$Q$4:$Q$312,$A62,'Safeguard facility data'!BI$4:BI$312,"&gt;0"))</f>
        <v>0</v>
      </c>
      <c r="C62" s="67">
        <f>(SUMIFS('Safeguard facility data'!BC$4:BC$312,'Safeguard facility data'!$Q$4:$Q$312,$A62,'Safeguard facility data'!BC$4:BC$312,"&gt;0"))-(SUMIFS('Safeguard facility data'!BJ$4:BJ$312,'Safeguard facility data'!$Q$4:$Q$312,$A62,'Safeguard facility data'!BJ$4:BJ$312,"&gt;0"))</f>
        <v>0</v>
      </c>
      <c r="D62" s="67">
        <f>(SUMIFS('Safeguard facility data'!BD$4:BD$312,'Safeguard facility data'!$Q$4:$Q$312,$A62,'Safeguard facility data'!BD$4:BD$312,"&gt;0"))-(SUMIFS('Safeguard facility data'!BK$4:BK$312,'Safeguard facility data'!$Q$4:$Q$312,$A62,'Safeguard facility data'!BK$4:BK$312,"&gt;0"))</f>
        <v>0</v>
      </c>
      <c r="E62" s="67">
        <f>(SUMIFS('Safeguard facility data'!BE$4:BE$312,'Safeguard facility data'!$Q$4:$Q$312,$A62,'Safeguard facility data'!BE$4:BE$312,"&gt;0"))-(SUMIFS('Safeguard facility data'!BL$4:BL$312,'Safeguard facility data'!$Q$4:$Q$312,$A62,'Safeguard facility data'!BL$4:BL$312,"&gt;0"))</f>
        <v>0</v>
      </c>
      <c r="F62" s="67">
        <f>(SUMIFS('Safeguard facility data'!BF$4:BF$312,'Safeguard facility data'!$Q$4:$Q$312,$A62,'Safeguard facility data'!BF$4:BF$312,"&gt;0"))-(SUMIFS('Safeguard facility data'!BM$4:BM$312,'Safeguard facility data'!$Q$4:$Q$312,$A62,'Safeguard facility data'!BM$4:BM$312,"&gt;0"))</f>
        <v>0</v>
      </c>
      <c r="G62" s="61">
        <f t="shared" si="3"/>
        <v>0</v>
      </c>
      <c r="H62" s="67"/>
      <c r="I62" s="67"/>
      <c r="J62" s="67"/>
      <c r="K62" s="67"/>
      <c r="L62" s="67"/>
      <c r="M62" s="67"/>
      <c r="N62" s="67"/>
      <c r="O62" s="67"/>
      <c r="P62" s="67"/>
      <c r="Q62" s="67"/>
      <c r="R62" s="67"/>
      <c r="S62" s="67"/>
    </row>
    <row r="63" spans="1:19">
      <c r="A63" s="54" t="s">
        <v>151</v>
      </c>
      <c r="B63" s="67">
        <f>(SUMIFS('Safeguard facility data'!BB$4:BB$312,'Safeguard facility data'!$Q$4:$Q$312,$A63,'Safeguard facility data'!BB$4:BB$312,"&gt;0"))-(SUMIFS('Safeguard facility data'!BI$4:BI$312,'Safeguard facility data'!$Q$4:$Q$312,$A63,'Safeguard facility data'!BI$4:BI$312,"&gt;0"))</f>
        <v>0</v>
      </c>
      <c r="C63" s="67">
        <f>(SUMIFS('Safeguard facility data'!BC$4:BC$312,'Safeguard facility data'!$Q$4:$Q$312,$A63,'Safeguard facility data'!BC$4:BC$312,"&gt;0"))-(SUMIFS('Safeguard facility data'!BJ$4:BJ$312,'Safeguard facility data'!$Q$4:$Q$312,$A63,'Safeguard facility data'!BJ$4:BJ$312,"&gt;0"))</f>
        <v>0</v>
      </c>
      <c r="D63" s="67">
        <f>(SUMIFS('Safeguard facility data'!BD$4:BD$312,'Safeguard facility data'!$Q$4:$Q$312,$A63,'Safeguard facility data'!BD$4:BD$312,"&gt;0"))-(SUMIFS('Safeguard facility data'!BK$4:BK$312,'Safeguard facility data'!$Q$4:$Q$312,$A63,'Safeguard facility data'!BK$4:BK$312,"&gt;0"))</f>
        <v>0</v>
      </c>
      <c r="E63" s="67">
        <f>(SUMIFS('Safeguard facility data'!BE$4:BE$312,'Safeguard facility data'!$Q$4:$Q$312,$A63,'Safeguard facility data'!BE$4:BE$312,"&gt;0"))-(SUMIFS('Safeguard facility data'!BL$4:BL$312,'Safeguard facility data'!$Q$4:$Q$312,$A63,'Safeguard facility data'!BL$4:BL$312,"&gt;0"))</f>
        <v>0</v>
      </c>
      <c r="F63" s="67">
        <f>(SUMIFS('Safeguard facility data'!BF$4:BF$312,'Safeguard facility data'!$Q$4:$Q$312,$A63,'Safeguard facility data'!BF$4:BF$312,"&gt;0"))-(SUMIFS('Safeguard facility data'!BM$4:BM$312,'Safeguard facility data'!$Q$4:$Q$312,$A63,'Safeguard facility data'!BM$4:BM$312,"&gt;0"))</f>
        <v>0</v>
      </c>
      <c r="G63" s="61">
        <f t="shared" si="3"/>
        <v>0</v>
      </c>
      <c r="H63" s="67"/>
      <c r="I63" s="67"/>
      <c r="J63" s="67"/>
      <c r="K63" s="67"/>
      <c r="L63" s="67"/>
      <c r="M63" s="67"/>
      <c r="N63" s="67"/>
      <c r="O63" s="67"/>
      <c r="P63" s="67"/>
      <c r="Q63" s="67"/>
      <c r="R63" s="67"/>
      <c r="S63" s="67"/>
    </row>
    <row r="64" spans="1:19">
      <c r="A64" s="54" t="s">
        <v>71</v>
      </c>
      <c r="B64" s="67">
        <f>(SUMIFS('Safeguard facility data'!BB$4:BB$312,'Safeguard facility data'!$Q$4:$Q$312,$A64,'Safeguard facility data'!BB$4:BB$312,"&gt;0"))-(SUMIFS('Safeguard facility data'!BI$4:BI$312,'Safeguard facility data'!$Q$4:$Q$312,$A64,'Safeguard facility data'!BI$4:BI$312,"&gt;0"))</f>
        <v>0</v>
      </c>
      <c r="C64" s="67">
        <f>(SUMIFS('Safeguard facility data'!BC$4:BC$312,'Safeguard facility data'!$Q$4:$Q$312,$A64,'Safeguard facility data'!BC$4:BC$312,"&gt;0"))-(SUMIFS('Safeguard facility data'!BJ$4:BJ$312,'Safeguard facility data'!$Q$4:$Q$312,$A64,'Safeguard facility data'!BJ$4:BJ$312,"&gt;0"))</f>
        <v>0</v>
      </c>
      <c r="D64" s="67">
        <f>(SUMIFS('Safeguard facility data'!BD$4:BD$312,'Safeguard facility data'!$Q$4:$Q$312,$A64,'Safeguard facility data'!BD$4:BD$312,"&gt;0"))-(SUMIFS('Safeguard facility data'!BK$4:BK$312,'Safeguard facility data'!$Q$4:$Q$312,$A64,'Safeguard facility data'!BK$4:BK$312,"&gt;0"))</f>
        <v>0</v>
      </c>
      <c r="E64" s="67">
        <f>(SUMIFS('Safeguard facility data'!BE$4:BE$312,'Safeguard facility data'!$Q$4:$Q$312,$A64,'Safeguard facility data'!BE$4:BE$312,"&gt;0"))-(SUMIFS('Safeguard facility data'!BL$4:BL$312,'Safeguard facility data'!$Q$4:$Q$312,$A64,'Safeguard facility data'!BL$4:BL$312,"&gt;0"))</f>
        <v>0</v>
      </c>
      <c r="F64" s="67">
        <f>(SUMIFS('Safeguard facility data'!BF$4:BF$312,'Safeguard facility data'!$Q$4:$Q$312,$A64,'Safeguard facility data'!BF$4:BF$312,"&gt;0"))-(SUMIFS('Safeguard facility data'!BM$4:BM$312,'Safeguard facility data'!$Q$4:$Q$312,$A64,'Safeguard facility data'!BM$4:BM$312,"&gt;0"))</f>
        <v>0</v>
      </c>
      <c r="G64" s="61">
        <f t="shared" si="3"/>
        <v>0</v>
      </c>
      <c r="H64" s="67"/>
      <c r="I64" s="67"/>
      <c r="J64" s="67"/>
      <c r="K64" s="67"/>
      <c r="L64" s="67"/>
      <c r="M64" s="67"/>
      <c r="N64" s="67"/>
      <c r="O64" s="67"/>
      <c r="P64" s="67"/>
      <c r="Q64" s="67"/>
      <c r="R64" s="67"/>
      <c r="S64" s="67"/>
    </row>
    <row r="65" spans="1:19">
      <c r="A65" s="54" t="s">
        <v>78</v>
      </c>
      <c r="B65" s="67">
        <f>(SUMIFS('Safeguard facility data'!BB$4:BB$312,'Safeguard facility data'!$Q$4:$Q$312,$A65,'Safeguard facility data'!BB$4:BB$312,"&gt;0"))-(SUMIFS('Safeguard facility data'!BI$4:BI$312,'Safeguard facility data'!$Q$4:$Q$312,$A65,'Safeguard facility data'!BI$4:BI$312,"&gt;0"))</f>
        <v>0</v>
      </c>
      <c r="C65" s="67">
        <f>(SUMIFS('Safeguard facility data'!BC$4:BC$312,'Safeguard facility data'!$Q$4:$Q$312,$A65,'Safeguard facility data'!BC$4:BC$312,"&gt;0"))-(SUMIFS('Safeguard facility data'!BJ$4:BJ$312,'Safeguard facility data'!$Q$4:$Q$312,$A65,'Safeguard facility data'!BJ$4:BJ$312,"&gt;0"))</f>
        <v>0</v>
      </c>
      <c r="D65" s="67">
        <f>(SUMIFS('Safeguard facility data'!BD$4:BD$312,'Safeguard facility data'!$Q$4:$Q$312,$A65,'Safeguard facility data'!BD$4:BD$312,"&gt;0"))-(SUMIFS('Safeguard facility data'!BK$4:BK$312,'Safeguard facility data'!$Q$4:$Q$312,$A65,'Safeguard facility data'!BK$4:BK$312,"&gt;0"))</f>
        <v>0</v>
      </c>
      <c r="E65" s="67">
        <f>(SUMIFS('Safeguard facility data'!BE$4:BE$312,'Safeguard facility data'!$Q$4:$Q$312,$A65,'Safeguard facility data'!BE$4:BE$312,"&gt;0"))-(SUMIFS('Safeguard facility data'!BL$4:BL$312,'Safeguard facility data'!$Q$4:$Q$312,$A65,'Safeguard facility data'!BL$4:BL$312,"&gt;0"))</f>
        <v>0</v>
      </c>
      <c r="F65" s="67">
        <f>(SUMIFS('Safeguard facility data'!BF$4:BF$312,'Safeguard facility data'!$Q$4:$Q$312,$A65,'Safeguard facility data'!BF$4:BF$312,"&gt;0"))-(SUMIFS('Safeguard facility data'!BM$4:BM$312,'Safeguard facility data'!$Q$4:$Q$312,$A65,'Safeguard facility data'!BM$4:BM$312,"&gt;0"))</f>
        <v>0</v>
      </c>
      <c r="G65" s="61">
        <f t="shared" si="3"/>
        <v>0</v>
      </c>
      <c r="H65" s="67"/>
      <c r="I65" s="67"/>
      <c r="J65" s="67"/>
      <c r="K65" s="67"/>
      <c r="L65" s="67"/>
      <c r="M65" s="67"/>
      <c r="N65" s="67"/>
      <c r="O65" s="67"/>
      <c r="P65" s="67"/>
      <c r="Q65" s="67"/>
      <c r="R65" s="67"/>
      <c r="S65" s="67"/>
    </row>
    <row r="66" spans="1:19">
      <c r="A66" s="54" t="s">
        <v>152</v>
      </c>
      <c r="B66" s="67">
        <f>(SUMIFS('Safeguard facility data'!BB$4:BB$312,'Safeguard facility data'!$Q$4:$Q$312,$A66,'Safeguard facility data'!BB$4:BB$312,"&gt;0"))-(SUMIFS('Safeguard facility data'!BI$4:BI$312,'Safeguard facility data'!$Q$4:$Q$312,$A66,'Safeguard facility data'!BI$4:BI$312,"&gt;0"))</f>
        <v>0</v>
      </c>
      <c r="C66" s="67">
        <f>(SUMIFS('Safeguard facility data'!BC$4:BC$312,'Safeguard facility data'!$Q$4:$Q$312,$A66,'Safeguard facility data'!BC$4:BC$312,"&gt;0"))-(SUMIFS('Safeguard facility data'!BJ$4:BJ$312,'Safeguard facility data'!$Q$4:$Q$312,$A66,'Safeguard facility data'!BJ$4:BJ$312,"&gt;0"))</f>
        <v>0</v>
      </c>
      <c r="D66" s="67">
        <f>(SUMIFS('Safeguard facility data'!BD$4:BD$312,'Safeguard facility data'!$Q$4:$Q$312,$A66,'Safeguard facility data'!BD$4:BD$312,"&gt;0"))-(SUMIFS('Safeguard facility data'!BK$4:BK$312,'Safeguard facility data'!$Q$4:$Q$312,$A66,'Safeguard facility data'!BK$4:BK$312,"&gt;0"))</f>
        <v>0</v>
      </c>
      <c r="E66" s="67">
        <f>(SUMIFS('Safeguard facility data'!BE$4:BE$312,'Safeguard facility data'!$Q$4:$Q$312,$A66,'Safeguard facility data'!BE$4:BE$312,"&gt;0"))-(SUMIFS('Safeguard facility data'!BL$4:BL$312,'Safeguard facility data'!$Q$4:$Q$312,$A66,'Safeguard facility data'!BL$4:BL$312,"&gt;0"))</f>
        <v>0</v>
      </c>
      <c r="F66" s="67">
        <f>(SUMIFS('Safeguard facility data'!BF$4:BF$312,'Safeguard facility data'!$Q$4:$Q$312,$A66,'Safeguard facility data'!BF$4:BF$312,"&gt;0"))-(SUMIFS('Safeguard facility data'!BM$4:BM$312,'Safeguard facility data'!$Q$4:$Q$312,$A66,'Safeguard facility data'!BM$4:BM$312,"&gt;0"))</f>
        <v>0</v>
      </c>
      <c r="G66" s="61">
        <f t="shared" si="3"/>
        <v>0</v>
      </c>
      <c r="H66" s="67"/>
      <c r="I66" s="67"/>
      <c r="J66" s="67"/>
      <c r="K66" s="67"/>
      <c r="L66" s="67"/>
      <c r="M66" s="67"/>
      <c r="N66" s="67"/>
      <c r="O66" s="67"/>
      <c r="P66" s="67"/>
      <c r="Q66" s="67"/>
      <c r="R66" s="67"/>
      <c r="S66" s="67"/>
    </row>
    <row r="67" spans="1:19">
      <c r="A67" s="54" t="s">
        <v>153</v>
      </c>
      <c r="B67" s="67">
        <f>(SUMIFS('Safeguard facility data'!BB$4:BB$312,'Safeguard facility data'!$Q$4:$Q$312,$A67,'Safeguard facility data'!BB$4:BB$312,"&gt;0"))-(SUMIFS('Safeguard facility data'!BI$4:BI$312,'Safeguard facility data'!$Q$4:$Q$312,$A67,'Safeguard facility data'!BI$4:BI$312,"&gt;0"))</f>
        <v>0</v>
      </c>
      <c r="C67" s="67">
        <f>(SUMIFS('Safeguard facility data'!BC$4:BC$312,'Safeguard facility data'!$Q$4:$Q$312,$A67,'Safeguard facility data'!BC$4:BC$312,"&gt;0"))-(SUMIFS('Safeguard facility data'!BJ$4:BJ$312,'Safeguard facility data'!$Q$4:$Q$312,$A67,'Safeguard facility data'!BJ$4:BJ$312,"&gt;0"))</f>
        <v>0</v>
      </c>
      <c r="D67" s="67">
        <f>(SUMIFS('Safeguard facility data'!BD$4:BD$312,'Safeguard facility data'!$Q$4:$Q$312,$A67,'Safeguard facility data'!BD$4:BD$312,"&gt;0"))-(SUMIFS('Safeguard facility data'!BK$4:BK$312,'Safeguard facility data'!$Q$4:$Q$312,$A67,'Safeguard facility data'!BK$4:BK$312,"&gt;0"))</f>
        <v>0</v>
      </c>
      <c r="E67" s="67">
        <f>(SUMIFS('Safeguard facility data'!BE$4:BE$312,'Safeguard facility data'!$Q$4:$Q$312,$A67,'Safeguard facility data'!BE$4:BE$312,"&gt;0"))-(SUMIFS('Safeguard facility data'!BL$4:BL$312,'Safeguard facility data'!$Q$4:$Q$312,$A67,'Safeguard facility data'!BL$4:BL$312,"&gt;0"))</f>
        <v>0</v>
      </c>
      <c r="F67" s="67">
        <f>(SUMIFS('Safeguard facility data'!BF$4:BF$312,'Safeguard facility data'!$Q$4:$Q$312,$A67,'Safeguard facility data'!BF$4:BF$312,"&gt;0"))-(SUMIFS('Safeguard facility data'!BM$4:BM$312,'Safeguard facility data'!$Q$4:$Q$312,$A67,'Safeguard facility data'!BM$4:BM$312,"&gt;0"))</f>
        <v>0</v>
      </c>
      <c r="G67" s="61">
        <f t="shared" si="3"/>
        <v>0</v>
      </c>
      <c r="H67" s="67"/>
      <c r="I67" s="67"/>
      <c r="J67" s="67"/>
      <c r="K67" s="67"/>
      <c r="L67" s="67"/>
      <c r="M67" s="67"/>
      <c r="N67" s="67"/>
      <c r="O67" s="67"/>
      <c r="P67" s="67"/>
      <c r="Q67" s="67"/>
      <c r="R67" s="67"/>
      <c r="S67" s="67"/>
    </row>
    <row r="68" spans="1:19">
      <c r="A68" s="54" t="s">
        <v>154</v>
      </c>
      <c r="B68" s="67">
        <f>(SUMIFS('Safeguard facility data'!BB$4:BB$312,'Safeguard facility data'!$Q$4:$Q$312,$A68,'Safeguard facility data'!BB$4:BB$312,"&gt;0"))-(SUMIFS('Safeguard facility data'!BI$4:BI$312,'Safeguard facility data'!$Q$4:$Q$312,$A68,'Safeguard facility data'!BI$4:BI$312,"&gt;0"))</f>
        <v>0</v>
      </c>
      <c r="C68" s="67">
        <f>(SUMIFS('Safeguard facility data'!BC$4:BC$312,'Safeguard facility data'!$Q$4:$Q$312,$A68,'Safeguard facility data'!BC$4:BC$312,"&gt;0"))-(SUMIFS('Safeguard facility data'!BJ$4:BJ$312,'Safeguard facility data'!$Q$4:$Q$312,$A68,'Safeguard facility data'!BJ$4:BJ$312,"&gt;0"))</f>
        <v>0</v>
      </c>
      <c r="D68" s="67">
        <f>(SUMIFS('Safeguard facility data'!BD$4:BD$312,'Safeguard facility data'!$Q$4:$Q$312,$A68,'Safeguard facility data'!BD$4:BD$312,"&gt;0"))-(SUMIFS('Safeguard facility data'!BK$4:BK$312,'Safeguard facility data'!$Q$4:$Q$312,$A68,'Safeguard facility data'!BK$4:BK$312,"&gt;0"))</f>
        <v>0</v>
      </c>
      <c r="E68" s="67">
        <f>(SUMIFS('Safeguard facility data'!BE$4:BE$312,'Safeguard facility data'!$Q$4:$Q$312,$A68,'Safeguard facility data'!BE$4:BE$312,"&gt;0"))-(SUMIFS('Safeguard facility data'!BL$4:BL$312,'Safeguard facility data'!$Q$4:$Q$312,$A68,'Safeguard facility data'!BL$4:BL$312,"&gt;0"))</f>
        <v>0</v>
      </c>
      <c r="F68" s="67">
        <f>(SUMIFS('Safeguard facility data'!BF$4:BF$312,'Safeguard facility data'!$Q$4:$Q$312,$A68,'Safeguard facility data'!BF$4:BF$312,"&gt;0"))-(SUMIFS('Safeguard facility data'!BM$4:BM$312,'Safeguard facility data'!$Q$4:$Q$312,$A68,'Safeguard facility data'!BM$4:BM$312,"&gt;0"))</f>
        <v>0</v>
      </c>
      <c r="G68" s="61">
        <f t="shared" ref="G68:G99" si="4">SUM(B68:F68)</f>
        <v>0</v>
      </c>
      <c r="H68" s="67"/>
      <c r="I68" s="67"/>
      <c r="J68" s="67"/>
      <c r="K68" s="67"/>
      <c r="L68" s="67"/>
      <c r="M68" s="67"/>
      <c r="N68" s="67"/>
      <c r="O68" s="67"/>
      <c r="P68" s="67"/>
      <c r="Q68" s="67"/>
      <c r="R68" s="67"/>
      <c r="S68" s="67"/>
    </row>
    <row r="69" spans="1:19">
      <c r="A69" s="54" t="s">
        <v>155</v>
      </c>
      <c r="B69" s="67">
        <f>(SUMIFS('Safeguard facility data'!BB$4:BB$312,'Safeguard facility data'!$Q$4:$Q$312,$A69,'Safeguard facility data'!BB$4:BB$312,"&gt;0"))-(SUMIFS('Safeguard facility data'!BI$4:BI$312,'Safeguard facility data'!$Q$4:$Q$312,$A69,'Safeguard facility data'!BI$4:BI$312,"&gt;0"))</f>
        <v>0</v>
      </c>
      <c r="C69" s="67">
        <f>(SUMIFS('Safeguard facility data'!BC$4:BC$312,'Safeguard facility data'!$Q$4:$Q$312,$A69,'Safeguard facility data'!BC$4:BC$312,"&gt;0"))-(SUMIFS('Safeguard facility data'!BJ$4:BJ$312,'Safeguard facility data'!$Q$4:$Q$312,$A69,'Safeguard facility data'!BJ$4:BJ$312,"&gt;0"))</f>
        <v>0</v>
      </c>
      <c r="D69" s="67">
        <f>(SUMIFS('Safeguard facility data'!BD$4:BD$312,'Safeguard facility data'!$Q$4:$Q$312,$A69,'Safeguard facility data'!BD$4:BD$312,"&gt;0"))-(SUMIFS('Safeguard facility data'!BK$4:BK$312,'Safeguard facility data'!$Q$4:$Q$312,$A69,'Safeguard facility data'!BK$4:BK$312,"&gt;0"))</f>
        <v>0</v>
      </c>
      <c r="E69" s="67">
        <f>(SUMIFS('Safeguard facility data'!BE$4:BE$312,'Safeguard facility data'!$Q$4:$Q$312,$A69,'Safeguard facility data'!BE$4:BE$312,"&gt;0"))-(SUMIFS('Safeguard facility data'!BL$4:BL$312,'Safeguard facility data'!$Q$4:$Q$312,$A69,'Safeguard facility data'!BL$4:BL$312,"&gt;0"))</f>
        <v>0</v>
      </c>
      <c r="F69" s="67">
        <f>(SUMIFS('Safeguard facility data'!BF$4:BF$312,'Safeguard facility data'!$Q$4:$Q$312,$A69,'Safeguard facility data'!BF$4:BF$312,"&gt;0"))-(SUMIFS('Safeguard facility data'!BM$4:BM$312,'Safeguard facility data'!$Q$4:$Q$312,$A69,'Safeguard facility data'!BM$4:BM$312,"&gt;0"))</f>
        <v>0</v>
      </c>
      <c r="G69" s="61">
        <f t="shared" si="4"/>
        <v>0</v>
      </c>
      <c r="H69" s="67"/>
      <c r="I69" s="67"/>
      <c r="J69" s="67"/>
      <c r="K69" s="67"/>
      <c r="L69" s="67"/>
      <c r="M69" s="67"/>
      <c r="N69" s="67"/>
      <c r="O69" s="67"/>
      <c r="P69" s="67"/>
      <c r="Q69" s="67"/>
      <c r="R69" s="67"/>
      <c r="S69" s="67"/>
    </row>
    <row r="70" spans="1:19">
      <c r="A70" s="54" t="s">
        <v>156</v>
      </c>
      <c r="B70" s="67">
        <f>(SUMIFS('Safeguard facility data'!BB$4:BB$312,'Safeguard facility data'!$Q$4:$Q$312,$A70,'Safeguard facility data'!BB$4:BB$312,"&gt;0"))-(SUMIFS('Safeguard facility data'!BI$4:BI$312,'Safeguard facility data'!$Q$4:$Q$312,$A70,'Safeguard facility data'!BI$4:BI$312,"&gt;0"))</f>
        <v>0</v>
      </c>
      <c r="C70" s="67">
        <f>(SUMIFS('Safeguard facility data'!BC$4:BC$312,'Safeguard facility data'!$Q$4:$Q$312,$A70,'Safeguard facility data'!BC$4:BC$312,"&gt;0"))-(SUMIFS('Safeguard facility data'!BJ$4:BJ$312,'Safeguard facility data'!$Q$4:$Q$312,$A70,'Safeguard facility data'!BJ$4:BJ$312,"&gt;0"))</f>
        <v>0</v>
      </c>
      <c r="D70" s="67">
        <f>(SUMIFS('Safeguard facility data'!BD$4:BD$312,'Safeguard facility data'!$Q$4:$Q$312,$A70,'Safeguard facility data'!BD$4:BD$312,"&gt;0"))-(SUMIFS('Safeguard facility data'!BK$4:BK$312,'Safeguard facility data'!$Q$4:$Q$312,$A70,'Safeguard facility data'!BK$4:BK$312,"&gt;0"))</f>
        <v>0</v>
      </c>
      <c r="E70" s="67">
        <f>(SUMIFS('Safeguard facility data'!BE$4:BE$312,'Safeguard facility data'!$Q$4:$Q$312,$A70,'Safeguard facility data'!BE$4:BE$312,"&gt;0"))-(SUMIFS('Safeguard facility data'!BL$4:BL$312,'Safeguard facility data'!$Q$4:$Q$312,$A70,'Safeguard facility data'!BL$4:BL$312,"&gt;0"))</f>
        <v>0</v>
      </c>
      <c r="F70" s="67">
        <f>(SUMIFS('Safeguard facility data'!BF$4:BF$312,'Safeguard facility data'!$Q$4:$Q$312,$A70,'Safeguard facility data'!BF$4:BF$312,"&gt;0"))-(SUMIFS('Safeguard facility data'!BM$4:BM$312,'Safeguard facility data'!$Q$4:$Q$312,$A70,'Safeguard facility data'!BM$4:BM$312,"&gt;0"))</f>
        <v>0</v>
      </c>
      <c r="G70" s="61">
        <f t="shared" si="4"/>
        <v>0</v>
      </c>
      <c r="H70" s="67"/>
      <c r="I70" s="67"/>
      <c r="J70" s="67"/>
      <c r="K70" s="67"/>
      <c r="L70" s="67"/>
      <c r="M70" s="67"/>
      <c r="N70" s="67"/>
      <c r="O70" s="67"/>
      <c r="P70" s="67"/>
      <c r="Q70" s="67"/>
      <c r="R70" s="67"/>
      <c r="S70" s="67"/>
    </row>
    <row r="71" spans="1:19">
      <c r="A71" s="54" t="s">
        <v>94</v>
      </c>
      <c r="B71" s="67">
        <f>(SUMIFS('Safeguard facility data'!BB$4:BB$312,'Safeguard facility data'!$Q$4:$Q$312,$A71,'Safeguard facility data'!BB$4:BB$312,"&gt;0"))-(SUMIFS('Safeguard facility data'!BI$4:BI$312,'Safeguard facility data'!$Q$4:$Q$312,$A71,'Safeguard facility data'!BI$4:BI$312,"&gt;0"))</f>
        <v>0</v>
      </c>
      <c r="C71" s="67">
        <f>(SUMIFS('Safeguard facility data'!BC$4:BC$312,'Safeguard facility data'!$Q$4:$Q$312,$A71,'Safeguard facility data'!BC$4:BC$312,"&gt;0"))-(SUMIFS('Safeguard facility data'!BJ$4:BJ$312,'Safeguard facility data'!$Q$4:$Q$312,$A71,'Safeguard facility data'!BJ$4:BJ$312,"&gt;0"))</f>
        <v>0</v>
      </c>
      <c r="D71" s="67">
        <f>(SUMIFS('Safeguard facility data'!BD$4:BD$312,'Safeguard facility data'!$Q$4:$Q$312,$A71,'Safeguard facility data'!BD$4:BD$312,"&gt;0"))-(SUMIFS('Safeguard facility data'!BK$4:BK$312,'Safeguard facility data'!$Q$4:$Q$312,$A71,'Safeguard facility data'!BK$4:BK$312,"&gt;0"))</f>
        <v>0</v>
      </c>
      <c r="E71" s="67">
        <f>(SUMIFS('Safeguard facility data'!BE$4:BE$312,'Safeguard facility data'!$Q$4:$Q$312,$A71,'Safeguard facility data'!BE$4:BE$312,"&gt;0"))-(SUMIFS('Safeguard facility data'!BL$4:BL$312,'Safeguard facility data'!$Q$4:$Q$312,$A71,'Safeguard facility data'!BL$4:BL$312,"&gt;0"))</f>
        <v>0</v>
      </c>
      <c r="F71" s="67">
        <f>(SUMIFS('Safeguard facility data'!BF$4:BF$312,'Safeguard facility data'!$Q$4:$Q$312,$A71,'Safeguard facility data'!BF$4:BF$312,"&gt;0"))-(SUMIFS('Safeguard facility data'!BM$4:BM$312,'Safeguard facility data'!$Q$4:$Q$312,$A71,'Safeguard facility data'!BM$4:BM$312,"&gt;0"))</f>
        <v>0</v>
      </c>
      <c r="G71" s="61">
        <f t="shared" si="4"/>
        <v>0</v>
      </c>
      <c r="H71" s="67"/>
      <c r="I71" s="67"/>
      <c r="J71" s="67"/>
      <c r="K71" s="67"/>
      <c r="L71" s="67"/>
      <c r="M71" s="67"/>
      <c r="N71" s="67"/>
      <c r="O71" s="67"/>
      <c r="P71" s="67"/>
      <c r="Q71" s="67"/>
      <c r="R71" s="67"/>
      <c r="S71" s="67"/>
    </row>
    <row r="72" spans="1:19">
      <c r="A72" s="54" t="s">
        <v>233</v>
      </c>
      <c r="B72" s="67">
        <f>(SUMIFS('Safeguard facility data'!BB$4:BB$312,'Safeguard facility data'!$Q$4:$Q$312,$A72,'Safeguard facility data'!BB$4:BB$312,"&gt;0"))-(SUMIFS('Safeguard facility data'!BI$4:BI$312,'Safeguard facility data'!$Q$4:$Q$312,$A72,'Safeguard facility data'!BI$4:BI$312,"&gt;0"))</f>
        <v>0</v>
      </c>
      <c r="C72" s="67">
        <f>(SUMIFS('Safeguard facility data'!BC$4:BC$312,'Safeguard facility data'!$Q$4:$Q$312,$A72,'Safeguard facility data'!BC$4:BC$312,"&gt;0"))-(SUMIFS('Safeguard facility data'!BJ$4:BJ$312,'Safeguard facility data'!$Q$4:$Q$312,$A72,'Safeguard facility data'!BJ$4:BJ$312,"&gt;0"))</f>
        <v>0</v>
      </c>
      <c r="D72" s="67">
        <f>(SUMIFS('Safeguard facility data'!BD$4:BD$312,'Safeguard facility data'!$Q$4:$Q$312,$A72,'Safeguard facility data'!BD$4:BD$312,"&gt;0"))-(SUMIFS('Safeguard facility data'!BK$4:BK$312,'Safeguard facility data'!$Q$4:$Q$312,$A72,'Safeguard facility data'!BK$4:BK$312,"&gt;0"))</f>
        <v>0</v>
      </c>
      <c r="E72" s="67">
        <f>(SUMIFS('Safeguard facility data'!BE$4:BE$312,'Safeguard facility data'!$Q$4:$Q$312,$A72,'Safeguard facility data'!BE$4:BE$312,"&gt;0"))-(SUMIFS('Safeguard facility data'!BL$4:BL$312,'Safeguard facility data'!$Q$4:$Q$312,$A72,'Safeguard facility data'!BL$4:BL$312,"&gt;0"))</f>
        <v>0</v>
      </c>
      <c r="F72" s="67">
        <f>(SUMIFS('Safeguard facility data'!BF$4:BF$312,'Safeguard facility data'!$Q$4:$Q$312,$A72,'Safeguard facility data'!BF$4:BF$312,"&gt;0"))-(SUMIFS('Safeguard facility data'!BM$4:BM$312,'Safeguard facility data'!$Q$4:$Q$312,$A72,'Safeguard facility data'!BM$4:BM$312,"&gt;0"))</f>
        <v>0</v>
      </c>
      <c r="G72" s="61">
        <f t="shared" si="4"/>
        <v>0</v>
      </c>
      <c r="H72" s="67"/>
      <c r="I72" s="67"/>
      <c r="J72" s="67"/>
      <c r="K72" s="67"/>
      <c r="L72" s="67"/>
      <c r="M72" s="67"/>
      <c r="N72" s="67"/>
      <c r="O72" s="67"/>
      <c r="P72" s="67"/>
      <c r="Q72" s="67"/>
      <c r="R72" s="67"/>
      <c r="S72" s="67"/>
    </row>
    <row r="73" spans="1:19">
      <c r="A73" s="54" t="s">
        <v>234</v>
      </c>
      <c r="B73" s="67">
        <f>(SUMIFS('Safeguard facility data'!BB$4:BB$312,'Safeguard facility data'!$Q$4:$Q$312,$A73,'Safeguard facility data'!BB$4:BB$312,"&gt;0"))-(SUMIFS('Safeguard facility data'!BI$4:BI$312,'Safeguard facility data'!$Q$4:$Q$312,$A73,'Safeguard facility data'!BI$4:BI$312,"&gt;0"))</f>
        <v>0</v>
      </c>
      <c r="C73" s="67">
        <f>(SUMIFS('Safeguard facility data'!BC$4:BC$312,'Safeguard facility data'!$Q$4:$Q$312,$A73,'Safeguard facility data'!BC$4:BC$312,"&gt;0"))-(SUMIFS('Safeguard facility data'!BJ$4:BJ$312,'Safeguard facility data'!$Q$4:$Q$312,$A73,'Safeguard facility data'!BJ$4:BJ$312,"&gt;0"))</f>
        <v>0</v>
      </c>
      <c r="D73" s="67">
        <f>(SUMIFS('Safeguard facility data'!BD$4:BD$312,'Safeguard facility data'!$Q$4:$Q$312,$A73,'Safeguard facility data'!BD$4:BD$312,"&gt;0"))-(SUMIFS('Safeguard facility data'!BK$4:BK$312,'Safeguard facility data'!$Q$4:$Q$312,$A73,'Safeguard facility data'!BK$4:BK$312,"&gt;0"))</f>
        <v>0</v>
      </c>
      <c r="E73" s="67">
        <f>(SUMIFS('Safeguard facility data'!BE$4:BE$312,'Safeguard facility data'!$Q$4:$Q$312,$A73,'Safeguard facility data'!BE$4:BE$312,"&gt;0"))-(SUMIFS('Safeguard facility data'!BL$4:BL$312,'Safeguard facility data'!$Q$4:$Q$312,$A73,'Safeguard facility data'!BL$4:BL$312,"&gt;0"))</f>
        <v>0</v>
      </c>
      <c r="F73" s="67">
        <f>(SUMIFS('Safeguard facility data'!BF$4:BF$312,'Safeguard facility data'!$Q$4:$Q$312,$A73,'Safeguard facility data'!BF$4:BF$312,"&gt;0"))-(SUMIFS('Safeguard facility data'!BM$4:BM$312,'Safeguard facility data'!$Q$4:$Q$312,$A73,'Safeguard facility data'!BM$4:BM$312,"&gt;0"))</f>
        <v>0</v>
      </c>
      <c r="G73" s="61">
        <f t="shared" si="4"/>
        <v>0</v>
      </c>
      <c r="H73" s="67"/>
      <c r="I73" s="67"/>
      <c r="J73" s="67"/>
      <c r="K73" s="67"/>
      <c r="L73" s="67"/>
      <c r="M73" s="67"/>
      <c r="N73" s="67"/>
      <c r="O73" s="67"/>
      <c r="P73" s="67"/>
      <c r="Q73" s="67"/>
      <c r="R73" s="67"/>
      <c r="S73" s="67"/>
    </row>
    <row r="74" spans="1:19">
      <c r="A74" s="54" t="s">
        <v>157</v>
      </c>
      <c r="B74" s="67">
        <f>(SUMIFS('Safeguard facility data'!BB$4:BB$312,'Safeguard facility data'!$Q$4:$Q$312,$A74,'Safeguard facility data'!BB$4:BB$312,"&gt;0"))-(SUMIFS('Safeguard facility data'!BI$4:BI$312,'Safeguard facility data'!$Q$4:$Q$312,$A74,'Safeguard facility data'!BI$4:BI$312,"&gt;0"))</f>
        <v>0</v>
      </c>
      <c r="C74" s="67">
        <f>(SUMIFS('Safeguard facility data'!BC$4:BC$312,'Safeguard facility data'!$Q$4:$Q$312,$A74,'Safeguard facility data'!BC$4:BC$312,"&gt;0"))-(SUMIFS('Safeguard facility data'!BJ$4:BJ$312,'Safeguard facility data'!$Q$4:$Q$312,$A74,'Safeguard facility data'!BJ$4:BJ$312,"&gt;0"))</f>
        <v>0</v>
      </c>
      <c r="D74" s="67">
        <f>(SUMIFS('Safeguard facility data'!BD$4:BD$312,'Safeguard facility data'!$Q$4:$Q$312,$A74,'Safeguard facility data'!BD$4:BD$312,"&gt;0"))-(SUMIFS('Safeguard facility data'!BK$4:BK$312,'Safeguard facility data'!$Q$4:$Q$312,$A74,'Safeguard facility data'!BK$4:BK$312,"&gt;0"))</f>
        <v>0</v>
      </c>
      <c r="E74" s="67">
        <f>(SUMIFS('Safeguard facility data'!BE$4:BE$312,'Safeguard facility data'!$Q$4:$Q$312,$A74,'Safeguard facility data'!BE$4:BE$312,"&gt;0"))-(SUMIFS('Safeguard facility data'!BL$4:BL$312,'Safeguard facility data'!$Q$4:$Q$312,$A74,'Safeguard facility data'!BL$4:BL$312,"&gt;0"))</f>
        <v>0</v>
      </c>
      <c r="F74" s="67">
        <f>(SUMIFS('Safeguard facility data'!BF$4:BF$312,'Safeguard facility data'!$Q$4:$Q$312,$A74,'Safeguard facility data'!BF$4:BF$312,"&gt;0"))-(SUMIFS('Safeguard facility data'!BM$4:BM$312,'Safeguard facility data'!$Q$4:$Q$312,$A74,'Safeguard facility data'!BM$4:BM$312,"&gt;0"))</f>
        <v>0</v>
      </c>
      <c r="G74" s="61">
        <f t="shared" si="4"/>
        <v>0</v>
      </c>
      <c r="H74" s="67"/>
      <c r="I74" s="67"/>
      <c r="J74" s="67"/>
      <c r="K74" s="67"/>
      <c r="L74" s="67"/>
      <c r="M74" s="67"/>
      <c r="N74" s="67"/>
      <c r="O74" s="67"/>
      <c r="P74" s="67"/>
      <c r="Q74" s="67"/>
      <c r="R74" s="67"/>
      <c r="S74" s="67"/>
    </row>
    <row r="75" spans="1:19">
      <c r="A75" s="54" t="s">
        <v>160</v>
      </c>
      <c r="B75" s="67">
        <f>(SUMIFS('Safeguard facility data'!BB$4:BB$312,'Safeguard facility data'!$Q$4:$Q$312,$A75,'Safeguard facility data'!BB$4:BB$312,"&gt;0"))-(SUMIFS('Safeguard facility data'!BI$4:BI$312,'Safeguard facility data'!$Q$4:$Q$312,$A75,'Safeguard facility data'!BI$4:BI$312,"&gt;0"))</f>
        <v>0</v>
      </c>
      <c r="C75" s="67">
        <f>(SUMIFS('Safeguard facility data'!BC$4:BC$312,'Safeguard facility data'!$Q$4:$Q$312,$A75,'Safeguard facility data'!BC$4:BC$312,"&gt;0"))-(SUMIFS('Safeguard facility data'!BJ$4:BJ$312,'Safeguard facility data'!$Q$4:$Q$312,$A75,'Safeguard facility data'!BJ$4:BJ$312,"&gt;0"))</f>
        <v>0</v>
      </c>
      <c r="D75" s="67">
        <f>(SUMIFS('Safeguard facility data'!BD$4:BD$312,'Safeguard facility data'!$Q$4:$Q$312,$A75,'Safeguard facility data'!BD$4:BD$312,"&gt;0"))-(SUMIFS('Safeguard facility data'!BK$4:BK$312,'Safeguard facility data'!$Q$4:$Q$312,$A75,'Safeguard facility data'!BK$4:BK$312,"&gt;0"))</f>
        <v>0</v>
      </c>
      <c r="E75" s="67">
        <f>(SUMIFS('Safeguard facility data'!BE$4:BE$312,'Safeguard facility data'!$Q$4:$Q$312,$A75,'Safeguard facility data'!BE$4:BE$312,"&gt;0"))-(SUMIFS('Safeguard facility data'!BL$4:BL$312,'Safeguard facility data'!$Q$4:$Q$312,$A75,'Safeguard facility data'!BL$4:BL$312,"&gt;0"))</f>
        <v>0</v>
      </c>
      <c r="F75" s="67">
        <f>(SUMIFS('Safeguard facility data'!BF$4:BF$312,'Safeguard facility data'!$Q$4:$Q$312,$A75,'Safeguard facility data'!BF$4:BF$312,"&gt;0"))-(SUMIFS('Safeguard facility data'!BM$4:BM$312,'Safeguard facility data'!$Q$4:$Q$312,$A75,'Safeguard facility data'!BM$4:BM$312,"&gt;0"))</f>
        <v>0</v>
      </c>
      <c r="G75" s="61">
        <f t="shared" si="4"/>
        <v>0</v>
      </c>
      <c r="H75" s="67"/>
      <c r="I75" s="67"/>
      <c r="J75" s="67"/>
      <c r="K75" s="67"/>
      <c r="L75" s="67"/>
      <c r="M75" s="67"/>
      <c r="N75" s="67"/>
      <c r="O75" s="67"/>
      <c r="P75" s="67"/>
      <c r="Q75" s="67"/>
      <c r="R75" s="67"/>
      <c r="S75" s="67"/>
    </row>
    <row r="76" spans="1:19">
      <c r="A76" s="54" t="s">
        <v>235</v>
      </c>
      <c r="B76" s="67">
        <f>(SUMIFS('Safeguard facility data'!BB$4:BB$312,'Safeguard facility data'!$Q$4:$Q$312,$A76,'Safeguard facility data'!BB$4:BB$312,"&gt;0"))-(SUMIFS('Safeguard facility data'!BI$4:BI$312,'Safeguard facility data'!$Q$4:$Q$312,$A76,'Safeguard facility data'!BI$4:BI$312,"&gt;0"))</f>
        <v>0</v>
      </c>
      <c r="C76" s="67">
        <f>(SUMIFS('Safeguard facility data'!BC$4:BC$312,'Safeguard facility data'!$Q$4:$Q$312,$A76,'Safeguard facility data'!BC$4:BC$312,"&gt;0"))-(SUMIFS('Safeguard facility data'!BJ$4:BJ$312,'Safeguard facility data'!$Q$4:$Q$312,$A76,'Safeguard facility data'!BJ$4:BJ$312,"&gt;0"))</f>
        <v>0</v>
      </c>
      <c r="D76" s="67">
        <f>(SUMIFS('Safeguard facility data'!BD$4:BD$312,'Safeguard facility data'!$Q$4:$Q$312,$A76,'Safeguard facility data'!BD$4:BD$312,"&gt;0"))-(SUMIFS('Safeguard facility data'!BK$4:BK$312,'Safeguard facility data'!$Q$4:$Q$312,$A76,'Safeguard facility data'!BK$4:BK$312,"&gt;0"))</f>
        <v>0</v>
      </c>
      <c r="E76" s="67">
        <f>(SUMIFS('Safeguard facility data'!BE$4:BE$312,'Safeguard facility data'!$Q$4:$Q$312,$A76,'Safeguard facility data'!BE$4:BE$312,"&gt;0"))-(SUMIFS('Safeguard facility data'!BL$4:BL$312,'Safeguard facility data'!$Q$4:$Q$312,$A76,'Safeguard facility data'!BL$4:BL$312,"&gt;0"))</f>
        <v>0</v>
      </c>
      <c r="F76" s="67">
        <f>(SUMIFS('Safeguard facility data'!BF$4:BF$312,'Safeguard facility data'!$Q$4:$Q$312,$A76,'Safeguard facility data'!BF$4:BF$312,"&gt;0"))-(SUMIFS('Safeguard facility data'!BM$4:BM$312,'Safeguard facility data'!$Q$4:$Q$312,$A76,'Safeguard facility data'!BM$4:BM$312,"&gt;0"))</f>
        <v>0</v>
      </c>
      <c r="G76" s="61">
        <f t="shared" si="4"/>
        <v>0</v>
      </c>
      <c r="H76" s="67"/>
      <c r="I76" s="67"/>
      <c r="J76" s="67"/>
      <c r="K76" s="67"/>
      <c r="L76" s="67"/>
      <c r="M76" s="67"/>
      <c r="N76" s="67"/>
      <c r="O76" s="67"/>
      <c r="P76" s="67"/>
      <c r="Q76" s="67"/>
      <c r="R76" s="67"/>
      <c r="S76" s="67"/>
    </row>
    <row r="77" spans="1:19">
      <c r="A77" s="54" t="s">
        <v>236</v>
      </c>
      <c r="B77" s="67">
        <f>(SUMIFS('Safeguard facility data'!BB$4:BB$312,'Safeguard facility data'!$Q$4:$Q$312,$A77,'Safeguard facility data'!BB$4:BB$312,"&gt;0"))-(SUMIFS('Safeguard facility data'!BI$4:BI$312,'Safeguard facility data'!$Q$4:$Q$312,$A77,'Safeguard facility data'!BI$4:BI$312,"&gt;0"))</f>
        <v>0</v>
      </c>
      <c r="C77" s="67">
        <f>(SUMIFS('Safeguard facility data'!BC$4:BC$312,'Safeguard facility data'!$Q$4:$Q$312,$A77,'Safeguard facility data'!BC$4:BC$312,"&gt;0"))-(SUMIFS('Safeguard facility data'!BJ$4:BJ$312,'Safeguard facility data'!$Q$4:$Q$312,$A77,'Safeguard facility data'!BJ$4:BJ$312,"&gt;0"))</f>
        <v>0</v>
      </c>
      <c r="D77" s="67">
        <f>(SUMIFS('Safeguard facility data'!BD$4:BD$312,'Safeguard facility data'!$Q$4:$Q$312,$A77,'Safeguard facility data'!BD$4:BD$312,"&gt;0"))-(SUMIFS('Safeguard facility data'!BK$4:BK$312,'Safeguard facility data'!$Q$4:$Q$312,$A77,'Safeguard facility data'!BK$4:BK$312,"&gt;0"))</f>
        <v>0</v>
      </c>
      <c r="E77" s="67">
        <f>(SUMIFS('Safeguard facility data'!BE$4:BE$312,'Safeguard facility data'!$Q$4:$Q$312,$A77,'Safeguard facility data'!BE$4:BE$312,"&gt;0"))-(SUMIFS('Safeguard facility data'!BL$4:BL$312,'Safeguard facility data'!$Q$4:$Q$312,$A77,'Safeguard facility data'!BL$4:BL$312,"&gt;0"))</f>
        <v>0</v>
      </c>
      <c r="F77" s="67">
        <f>(SUMIFS('Safeguard facility data'!BF$4:BF$312,'Safeguard facility data'!$Q$4:$Q$312,$A77,'Safeguard facility data'!BF$4:BF$312,"&gt;0"))-(SUMIFS('Safeguard facility data'!BM$4:BM$312,'Safeguard facility data'!$Q$4:$Q$312,$A77,'Safeguard facility data'!BM$4:BM$312,"&gt;0"))</f>
        <v>0</v>
      </c>
      <c r="G77" s="61">
        <f t="shared" si="4"/>
        <v>0</v>
      </c>
      <c r="H77" s="67"/>
      <c r="I77" s="67"/>
      <c r="J77" s="67"/>
      <c r="K77" s="67"/>
      <c r="L77" s="67"/>
      <c r="M77" s="67"/>
      <c r="N77" s="67"/>
      <c r="O77" s="67"/>
      <c r="P77" s="67"/>
      <c r="Q77" s="67"/>
      <c r="R77" s="67"/>
      <c r="S77" s="67"/>
    </row>
    <row r="78" spans="1:19">
      <c r="A78" s="54" t="s">
        <v>162</v>
      </c>
      <c r="B78" s="67">
        <f>(SUMIFS('Safeguard facility data'!BB$4:BB$312,'Safeguard facility data'!$Q$4:$Q$312,$A78,'Safeguard facility data'!BB$4:BB$312,"&gt;0"))-(SUMIFS('Safeguard facility data'!BI$4:BI$312,'Safeguard facility data'!$Q$4:$Q$312,$A78,'Safeguard facility data'!BI$4:BI$312,"&gt;0"))</f>
        <v>0</v>
      </c>
      <c r="C78" s="67">
        <f>(SUMIFS('Safeguard facility data'!BC$4:BC$312,'Safeguard facility data'!$Q$4:$Q$312,$A78,'Safeguard facility data'!BC$4:BC$312,"&gt;0"))-(SUMIFS('Safeguard facility data'!BJ$4:BJ$312,'Safeguard facility data'!$Q$4:$Q$312,$A78,'Safeguard facility data'!BJ$4:BJ$312,"&gt;0"))</f>
        <v>0</v>
      </c>
      <c r="D78" s="67">
        <f>(SUMIFS('Safeguard facility data'!BD$4:BD$312,'Safeguard facility data'!$Q$4:$Q$312,$A78,'Safeguard facility data'!BD$4:BD$312,"&gt;0"))-(SUMIFS('Safeguard facility data'!BK$4:BK$312,'Safeguard facility data'!$Q$4:$Q$312,$A78,'Safeguard facility data'!BK$4:BK$312,"&gt;0"))</f>
        <v>0</v>
      </c>
      <c r="E78" s="67">
        <f>(SUMIFS('Safeguard facility data'!BE$4:BE$312,'Safeguard facility data'!$Q$4:$Q$312,$A78,'Safeguard facility data'!BE$4:BE$312,"&gt;0"))-(SUMIFS('Safeguard facility data'!BL$4:BL$312,'Safeguard facility data'!$Q$4:$Q$312,$A78,'Safeguard facility data'!BL$4:BL$312,"&gt;0"))</f>
        <v>0</v>
      </c>
      <c r="F78" s="67">
        <f>(SUMIFS('Safeguard facility data'!BF$4:BF$312,'Safeguard facility data'!$Q$4:$Q$312,$A78,'Safeguard facility data'!BF$4:BF$312,"&gt;0"))-(SUMIFS('Safeguard facility data'!BM$4:BM$312,'Safeguard facility data'!$Q$4:$Q$312,$A78,'Safeguard facility data'!BM$4:BM$312,"&gt;0"))</f>
        <v>0</v>
      </c>
      <c r="G78" s="61">
        <f t="shared" si="4"/>
        <v>0</v>
      </c>
      <c r="H78" s="67"/>
      <c r="I78" s="67"/>
      <c r="J78" s="67"/>
      <c r="K78" s="67"/>
      <c r="L78" s="67"/>
      <c r="M78" s="67"/>
      <c r="N78" s="67"/>
      <c r="O78" s="67"/>
      <c r="P78" s="67"/>
      <c r="Q78" s="67"/>
      <c r="R78" s="67"/>
      <c r="S78" s="67"/>
    </row>
    <row r="79" spans="1:19">
      <c r="A79" s="54" t="s">
        <v>237</v>
      </c>
      <c r="B79" s="67">
        <f>(SUMIFS('Safeguard facility data'!BB$4:BB$312,'Safeguard facility data'!$Q$4:$Q$312,$A79,'Safeguard facility data'!BB$4:BB$312,"&gt;0"))-(SUMIFS('Safeguard facility data'!BI$4:BI$312,'Safeguard facility data'!$Q$4:$Q$312,$A79,'Safeguard facility data'!BI$4:BI$312,"&gt;0"))</f>
        <v>0</v>
      </c>
      <c r="C79" s="67">
        <f>(SUMIFS('Safeguard facility data'!BC$4:BC$312,'Safeguard facility data'!$Q$4:$Q$312,$A79,'Safeguard facility data'!BC$4:BC$312,"&gt;0"))-(SUMIFS('Safeguard facility data'!BJ$4:BJ$312,'Safeguard facility data'!$Q$4:$Q$312,$A79,'Safeguard facility data'!BJ$4:BJ$312,"&gt;0"))</f>
        <v>0</v>
      </c>
      <c r="D79" s="67">
        <f>(SUMIFS('Safeguard facility data'!BD$4:BD$312,'Safeguard facility data'!$Q$4:$Q$312,$A79,'Safeguard facility data'!BD$4:BD$312,"&gt;0"))-(SUMIFS('Safeguard facility data'!BK$4:BK$312,'Safeguard facility data'!$Q$4:$Q$312,$A79,'Safeguard facility data'!BK$4:BK$312,"&gt;0"))</f>
        <v>0</v>
      </c>
      <c r="E79" s="67">
        <f>(SUMIFS('Safeguard facility data'!BE$4:BE$312,'Safeguard facility data'!$Q$4:$Q$312,$A79,'Safeguard facility data'!BE$4:BE$312,"&gt;0"))-(SUMIFS('Safeguard facility data'!BL$4:BL$312,'Safeguard facility data'!$Q$4:$Q$312,$A79,'Safeguard facility data'!BL$4:BL$312,"&gt;0"))</f>
        <v>0</v>
      </c>
      <c r="F79" s="67">
        <f>(SUMIFS('Safeguard facility data'!BF$4:BF$312,'Safeguard facility data'!$Q$4:$Q$312,$A79,'Safeguard facility data'!BF$4:BF$312,"&gt;0"))-(SUMIFS('Safeguard facility data'!BM$4:BM$312,'Safeguard facility data'!$Q$4:$Q$312,$A79,'Safeguard facility data'!BM$4:BM$312,"&gt;0"))</f>
        <v>0</v>
      </c>
      <c r="G79" s="61">
        <f t="shared" si="4"/>
        <v>0</v>
      </c>
      <c r="H79" s="67"/>
      <c r="I79" s="67"/>
      <c r="J79" s="67"/>
      <c r="K79" s="67"/>
      <c r="L79" s="67"/>
      <c r="M79" s="67"/>
      <c r="N79" s="67"/>
      <c r="O79" s="67"/>
      <c r="P79" s="67"/>
      <c r="Q79" s="67"/>
      <c r="R79" s="67"/>
      <c r="S79" s="67"/>
    </row>
    <row r="80" spans="1:19">
      <c r="A80" s="54" t="s">
        <v>266</v>
      </c>
      <c r="B80" s="67">
        <f>(SUMIFS('Safeguard facility data'!BB$4:BB$312,'Safeguard facility data'!$Q$4:$Q$312,$A80,'Safeguard facility data'!BB$4:BB$312,"&gt;0"))-(SUMIFS('Safeguard facility data'!BI$4:BI$312,'Safeguard facility data'!$Q$4:$Q$312,$A80,'Safeguard facility data'!BI$4:BI$312,"&gt;0"))</f>
        <v>0</v>
      </c>
      <c r="C80" s="67">
        <f>(SUMIFS('Safeguard facility data'!BC$4:BC$312,'Safeguard facility data'!$Q$4:$Q$312,$A80,'Safeguard facility data'!BC$4:BC$312,"&gt;0"))-(SUMIFS('Safeguard facility data'!BJ$4:BJ$312,'Safeguard facility data'!$Q$4:$Q$312,$A80,'Safeguard facility data'!BJ$4:BJ$312,"&gt;0"))</f>
        <v>0</v>
      </c>
      <c r="D80" s="67">
        <f>(SUMIFS('Safeguard facility data'!BD$4:BD$312,'Safeguard facility data'!$Q$4:$Q$312,$A80,'Safeguard facility data'!BD$4:BD$312,"&gt;0"))-(SUMIFS('Safeguard facility data'!BK$4:BK$312,'Safeguard facility data'!$Q$4:$Q$312,$A80,'Safeguard facility data'!BK$4:BK$312,"&gt;0"))</f>
        <v>0</v>
      </c>
      <c r="E80" s="67">
        <f>(SUMIFS('Safeguard facility data'!BE$4:BE$312,'Safeguard facility data'!$Q$4:$Q$312,$A80,'Safeguard facility data'!BE$4:BE$312,"&gt;0"))-(SUMIFS('Safeguard facility data'!BL$4:BL$312,'Safeguard facility data'!$Q$4:$Q$312,$A80,'Safeguard facility data'!BL$4:BL$312,"&gt;0"))</f>
        <v>0</v>
      </c>
      <c r="F80" s="67">
        <f>(SUMIFS('Safeguard facility data'!BF$4:BF$312,'Safeguard facility data'!$Q$4:$Q$312,$A80,'Safeguard facility data'!BF$4:BF$312,"&gt;0"))-(SUMIFS('Safeguard facility data'!BM$4:BM$312,'Safeguard facility data'!$Q$4:$Q$312,$A80,'Safeguard facility data'!BM$4:BM$312,"&gt;0"))</f>
        <v>0</v>
      </c>
      <c r="G80" s="61">
        <f t="shared" si="4"/>
        <v>0</v>
      </c>
      <c r="H80" s="67"/>
      <c r="I80" s="67"/>
      <c r="J80" s="67"/>
      <c r="K80" s="67"/>
      <c r="L80" s="67"/>
      <c r="M80" s="67"/>
      <c r="N80" s="67"/>
      <c r="O80" s="67"/>
      <c r="P80" s="67"/>
      <c r="Q80" s="67"/>
      <c r="R80" s="67"/>
      <c r="S80" s="67"/>
    </row>
    <row r="81" spans="1:19">
      <c r="A81" s="54" t="s">
        <v>238</v>
      </c>
      <c r="B81" s="67">
        <f>(SUMIFS('Safeguard facility data'!BB$4:BB$312,'Safeguard facility data'!$Q$4:$Q$312,$A81,'Safeguard facility data'!BB$4:BB$312,"&gt;0"))-(SUMIFS('Safeguard facility data'!BI$4:BI$312,'Safeguard facility data'!$Q$4:$Q$312,$A81,'Safeguard facility data'!BI$4:BI$312,"&gt;0"))</f>
        <v>0</v>
      </c>
      <c r="C81" s="67">
        <f>(SUMIFS('Safeguard facility data'!BC$4:BC$312,'Safeguard facility data'!$Q$4:$Q$312,$A81,'Safeguard facility data'!BC$4:BC$312,"&gt;0"))-(SUMIFS('Safeguard facility data'!BJ$4:BJ$312,'Safeguard facility data'!$Q$4:$Q$312,$A81,'Safeguard facility data'!BJ$4:BJ$312,"&gt;0"))</f>
        <v>0</v>
      </c>
      <c r="D81" s="67">
        <f>(SUMIFS('Safeguard facility data'!BD$4:BD$312,'Safeguard facility data'!$Q$4:$Q$312,$A81,'Safeguard facility data'!BD$4:BD$312,"&gt;0"))-(SUMIFS('Safeguard facility data'!BK$4:BK$312,'Safeguard facility data'!$Q$4:$Q$312,$A81,'Safeguard facility data'!BK$4:BK$312,"&gt;0"))</f>
        <v>0</v>
      </c>
      <c r="E81" s="67">
        <f>(SUMIFS('Safeguard facility data'!BE$4:BE$312,'Safeguard facility data'!$Q$4:$Q$312,$A81,'Safeguard facility data'!BE$4:BE$312,"&gt;0"))-(SUMIFS('Safeguard facility data'!BL$4:BL$312,'Safeguard facility data'!$Q$4:$Q$312,$A81,'Safeguard facility data'!BL$4:BL$312,"&gt;0"))</f>
        <v>0</v>
      </c>
      <c r="F81" s="67">
        <f>(SUMIFS('Safeguard facility data'!BF$4:BF$312,'Safeguard facility data'!$Q$4:$Q$312,$A81,'Safeguard facility data'!BF$4:BF$312,"&gt;0"))-(SUMIFS('Safeguard facility data'!BM$4:BM$312,'Safeguard facility data'!$Q$4:$Q$312,$A81,'Safeguard facility data'!BM$4:BM$312,"&gt;0"))</f>
        <v>0</v>
      </c>
      <c r="G81" s="61">
        <f t="shared" si="4"/>
        <v>0</v>
      </c>
      <c r="H81" s="67"/>
      <c r="I81" s="67"/>
      <c r="J81" s="67"/>
      <c r="K81" s="67"/>
      <c r="L81" s="67"/>
      <c r="M81" s="67"/>
      <c r="N81" s="67"/>
      <c r="O81" s="67"/>
      <c r="P81" s="67"/>
      <c r="Q81" s="67"/>
      <c r="R81" s="67"/>
      <c r="S81" s="67"/>
    </row>
    <row r="82" spans="1:19">
      <c r="A82" s="54" t="s">
        <v>239</v>
      </c>
      <c r="B82" s="67">
        <f>(SUMIFS('Safeguard facility data'!BB$4:BB$312,'Safeguard facility data'!$Q$4:$Q$312,$A82,'Safeguard facility data'!BB$4:BB$312,"&gt;0"))-(SUMIFS('Safeguard facility data'!BI$4:BI$312,'Safeguard facility data'!$Q$4:$Q$312,$A82,'Safeguard facility data'!BI$4:BI$312,"&gt;0"))</f>
        <v>0</v>
      </c>
      <c r="C82" s="67">
        <f>(SUMIFS('Safeguard facility data'!BC$4:BC$312,'Safeguard facility data'!$Q$4:$Q$312,$A82,'Safeguard facility data'!BC$4:BC$312,"&gt;0"))-(SUMIFS('Safeguard facility data'!BJ$4:BJ$312,'Safeguard facility data'!$Q$4:$Q$312,$A82,'Safeguard facility data'!BJ$4:BJ$312,"&gt;0"))</f>
        <v>0</v>
      </c>
      <c r="D82" s="67">
        <f>(SUMIFS('Safeguard facility data'!BD$4:BD$312,'Safeguard facility data'!$Q$4:$Q$312,$A82,'Safeguard facility data'!BD$4:BD$312,"&gt;0"))-(SUMIFS('Safeguard facility data'!BK$4:BK$312,'Safeguard facility data'!$Q$4:$Q$312,$A82,'Safeguard facility data'!BK$4:BK$312,"&gt;0"))</f>
        <v>0</v>
      </c>
      <c r="E82" s="67">
        <f>(SUMIFS('Safeguard facility data'!BE$4:BE$312,'Safeguard facility data'!$Q$4:$Q$312,$A82,'Safeguard facility data'!BE$4:BE$312,"&gt;0"))-(SUMIFS('Safeguard facility data'!BL$4:BL$312,'Safeguard facility data'!$Q$4:$Q$312,$A82,'Safeguard facility data'!BL$4:BL$312,"&gt;0"))</f>
        <v>0</v>
      </c>
      <c r="F82" s="67">
        <f>(SUMIFS('Safeguard facility data'!BF$4:BF$312,'Safeguard facility data'!$Q$4:$Q$312,$A82,'Safeguard facility data'!BF$4:BF$312,"&gt;0"))-(SUMIFS('Safeguard facility data'!BM$4:BM$312,'Safeguard facility data'!$Q$4:$Q$312,$A82,'Safeguard facility data'!BM$4:BM$312,"&gt;0"))</f>
        <v>0</v>
      </c>
      <c r="G82" s="61">
        <f t="shared" si="4"/>
        <v>0</v>
      </c>
      <c r="H82" s="67"/>
      <c r="I82" s="67"/>
      <c r="J82" s="67"/>
      <c r="K82" s="67"/>
      <c r="L82" s="67"/>
      <c r="M82" s="67"/>
      <c r="N82" s="67"/>
      <c r="O82" s="67"/>
      <c r="P82" s="67"/>
      <c r="Q82" s="67"/>
      <c r="R82" s="67"/>
      <c r="S82" s="67"/>
    </row>
    <row r="83" spans="1:19">
      <c r="A83" s="54" t="s">
        <v>264</v>
      </c>
      <c r="B83" s="67">
        <f>(SUMIFS('Safeguard facility data'!BB$4:BB$312,'Safeguard facility data'!$Q$4:$Q$312,$A83,'Safeguard facility data'!BB$4:BB$312,"&gt;0"))-(SUMIFS('Safeguard facility data'!BI$4:BI$312,'Safeguard facility data'!$Q$4:$Q$312,$A83,'Safeguard facility data'!BI$4:BI$312,"&gt;0"))</f>
        <v>0</v>
      </c>
      <c r="C83" s="67">
        <f>(SUMIFS('Safeguard facility data'!BC$4:BC$312,'Safeguard facility data'!$Q$4:$Q$312,$A83,'Safeguard facility data'!BC$4:BC$312,"&gt;0"))-(SUMIFS('Safeguard facility data'!BJ$4:BJ$312,'Safeguard facility data'!$Q$4:$Q$312,$A83,'Safeguard facility data'!BJ$4:BJ$312,"&gt;0"))</f>
        <v>0</v>
      </c>
      <c r="D83" s="67">
        <f>(SUMIFS('Safeguard facility data'!BD$4:BD$312,'Safeguard facility data'!$Q$4:$Q$312,$A83,'Safeguard facility data'!BD$4:BD$312,"&gt;0"))-(SUMIFS('Safeguard facility data'!BK$4:BK$312,'Safeguard facility data'!$Q$4:$Q$312,$A83,'Safeguard facility data'!BK$4:BK$312,"&gt;0"))</f>
        <v>0</v>
      </c>
      <c r="E83" s="67">
        <f>(SUMIFS('Safeguard facility data'!BE$4:BE$312,'Safeguard facility data'!$Q$4:$Q$312,$A83,'Safeguard facility data'!BE$4:BE$312,"&gt;0"))-(SUMIFS('Safeguard facility data'!BL$4:BL$312,'Safeguard facility data'!$Q$4:$Q$312,$A83,'Safeguard facility data'!BL$4:BL$312,"&gt;0"))</f>
        <v>0</v>
      </c>
      <c r="F83" s="67">
        <f>(SUMIFS('Safeguard facility data'!BF$4:BF$312,'Safeguard facility data'!$Q$4:$Q$312,$A83,'Safeguard facility data'!BF$4:BF$312,"&gt;0"))-(SUMIFS('Safeguard facility data'!BM$4:BM$312,'Safeguard facility data'!$Q$4:$Q$312,$A83,'Safeguard facility data'!BM$4:BM$312,"&gt;0"))</f>
        <v>0</v>
      </c>
      <c r="G83" s="61">
        <f t="shared" si="4"/>
        <v>0</v>
      </c>
      <c r="H83" s="67"/>
      <c r="I83" s="67"/>
      <c r="J83" s="67"/>
      <c r="K83" s="67"/>
      <c r="L83" s="67"/>
      <c r="M83" s="67"/>
      <c r="N83" s="67"/>
      <c r="O83" s="67"/>
      <c r="P83" s="67"/>
      <c r="Q83" s="67"/>
      <c r="R83" s="67"/>
      <c r="S83" s="67"/>
    </row>
    <row r="84" spans="1:19">
      <c r="A84" s="54" t="s">
        <v>164</v>
      </c>
      <c r="B84" s="67">
        <f>(SUMIFS('Safeguard facility data'!BB$4:BB$312,'Safeguard facility data'!$Q$4:$Q$312,$A84,'Safeguard facility data'!BB$4:BB$312,"&gt;0"))-(SUMIFS('Safeguard facility data'!BI$4:BI$312,'Safeguard facility data'!$Q$4:$Q$312,$A84,'Safeguard facility data'!BI$4:BI$312,"&gt;0"))</f>
        <v>0</v>
      </c>
      <c r="C84" s="67">
        <f>(SUMIFS('Safeguard facility data'!BC$4:BC$312,'Safeguard facility data'!$Q$4:$Q$312,$A84,'Safeguard facility data'!BC$4:BC$312,"&gt;0"))-(SUMIFS('Safeguard facility data'!BJ$4:BJ$312,'Safeguard facility data'!$Q$4:$Q$312,$A84,'Safeguard facility data'!BJ$4:BJ$312,"&gt;0"))</f>
        <v>0</v>
      </c>
      <c r="D84" s="67">
        <f>(SUMIFS('Safeguard facility data'!BD$4:BD$312,'Safeguard facility data'!$Q$4:$Q$312,$A84,'Safeguard facility data'!BD$4:BD$312,"&gt;0"))-(SUMIFS('Safeguard facility data'!BK$4:BK$312,'Safeguard facility data'!$Q$4:$Q$312,$A84,'Safeguard facility data'!BK$4:BK$312,"&gt;0"))</f>
        <v>0</v>
      </c>
      <c r="E84" s="67">
        <f>(SUMIFS('Safeguard facility data'!BE$4:BE$312,'Safeguard facility data'!$Q$4:$Q$312,$A84,'Safeguard facility data'!BE$4:BE$312,"&gt;0"))-(SUMIFS('Safeguard facility data'!BL$4:BL$312,'Safeguard facility data'!$Q$4:$Q$312,$A84,'Safeguard facility data'!BL$4:BL$312,"&gt;0"))</f>
        <v>0</v>
      </c>
      <c r="F84" s="67">
        <f>(SUMIFS('Safeguard facility data'!BF$4:BF$312,'Safeguard facility data'!$Q$4:$Q$312,$A84,'Safeguard facility data'!BF$4:BF$312,"&gt;0"))-(SUMIFS('Safeguard facility data'!BM$4:BM$312,'Safeguard facility data'!$Q$4:$Q$312,$A84,'Safeguard facility data'!BM$4:BM$312,"&gt;0"))</f>
        <v>0</v>
      </c>
      <c r="G84" s="61">
        <f t="shared" si="4"/>
        <v>0</v>
      </c>
      <c r="H84" s="67"/>
      <c r="I84" s="67"/>
      <c r="J84" s="67"/>
      <c r="K84" s="67"/>
      <c r="L84" s="67"/>
      <c r="M84" s="67"/>
      <c r="N84" s="67"/>
      <c r="O84" s="67"/>
      <c r="P84" s="67"/>
      <c r="Q84" s="67"/>
      <c r="R84" s="67"/>
      <c r="S84" s="67"/>
    </row>
    <row r="85" spans="1:19">
      <c r="A85" s="54" t="s">
        <v>240</v>
      </c>
      <c r="B85" s="67">
        <f>(SUMIFS('Safeguard facility data'!BB$4:BB$312,'Safeguard facility data'!$Q$4:$Q$312,$A85,'Safeguard facility data'!BB$4:BB$312,"&gt;0"))-(SUMIFS('Safeguard facility data'!BI$4:BI$312,'Safeguard facility data'!$Q$4:$Q$312,$A85,'Safeguard facility data'!BI$4:BI$312,"&gt;0"))</f>
        <v>0</v>
      </c>
      <c r="C85" s="67">
        <f>(SUMIFS('Safeguard facility data'!BC$4:BC$312,'Safeguard facility data'!$Q$4:$Q$312,$A85,'Safeguard facility data'!BC$4:BC$312,"&gt;0"))-(SUMIFS('Safeguard facility data'!BJ$4:BJ$312,'Safeguard facility data'!$Q$4:$Q$312,$A85,'Safeguard facility data'!BJ$4:BJ$312,"&gt;0"))</f>
        <v>0</v>
      </c>
      <c r="D85" s="67">
        <f>(SUMIFS('Safeguard facility data'!BD$4:BD$312,'Safeguard facility data'!$Q$4:$Q$312,$A85,'Safeguard facility data'!BD$4:BD$312,"&gt;0"))-(SUMIFS('Safeguard facility data'!BK$4:BK$312,'Safeguard facility data'!$Q$4:$Q$312,$A85,'Safeguard facility data'!BK$4:BK$312,"&gt;0"))</f>
        <v>0</v>
      </c>
      <c r="E85" s="67">
        <f>(SUMIFS('Safeguard facility data'!BE$4:BE$312,'Safeguard facility data'!$Q$4:$Q$312,$A85,'Safeguard facility data'!BE$4:BE$312,"&gt;0"))-(SUMIFS('Safeguard facility data'!BL$4:BL$312,'Safeguard facility data'!$Q$4:$Q$312,$A85,'Safeguard facility data'!BL$4:BL$312,"&gt;0"))</f>
        <v>0</v>
      </c>
      <c r="F85" s="67">
        <f>(SUMIFS('Safeguard facility data'!BF$4:BF$312,'Safeguard facility data'!$Q$4:$Q$312,$A85,'Safeguard facility data'!BF$4:BF$312,"&gt;0"))-(SUMIFS('Safeguard facility data'!BM$4:BM$312,'Safeguard facility data'!$Q$4:$Q$312,$A85,'Safeguard facility data'!BM$4:BM$312,"&gt;0"))</f>
        <v>0</v>
      </c>
      <c r="G85" s="61">
        <f t="shared" si="4"/>
        <v>0</v>
      </c>
      <c r="H85" s="67"/>
      <c r="I85" s="67"/>
      <c r="J85" s="67"/>
      <c r="K85" s="67"/>
      <c r="L85" s="67"/>
      <c r="M85" s="67"/>
      <c r="N85" s="67"/>
      <c r="O85" s="67"/>
      <c r="P85" s="67"/>
      <c r="Q85" s="67"/>
      <c r="R85" s="67"/>
      <c r="S85" s="67"/>
    </row>
    <row r="86" spans="1:19">
      <c r="A86" s="54" t="s">
        <v>165</v>
      </c>
      <c r="B86" s="67">
        <f>(SUMIFS('Safeguard facility data'!BB$4:BB$312,'Safeguard facility data'!$Q$4:$Q$312,$A86,'Safeguard facility data'!BB$4:BB$312,"&gt;0"))-(SUMIFS('Safeguard facility data'!BI$4:BI$312,'Safeguard facility data'!$Q$4:$Q$312,$A86,'Safeguard facility data'!BI$4:BI$312,"&gt;0"))</f>
        <v>0</v>
      </c>
      <c r="C86" s="67">
        <f>(SUMIFS('Safeguard facility data'!BC$4:BC$312,'Safeguard facility data'!$Q$4:$Q$312,$A86,'Safeguard facility data'!BC$4:BC$312,"&gt;0"))-(SUMIFS('Safeguard facility data'!BJ$4:BJ$312,'Safeguard facility data'!$Q$4:$Q$312,$A86,'Safeguard facility data'!BJ$4:BJ$312,"&gt;0"))</f>
        <v>0</v>
      </c>
      <c r="D86" s="67">
        <f>(SUMIFS('Safeguard facility data'!BD$4:BD$312,'Safeguard facility data'!$Q$4:$Q$312,$A86,'Safeguard facility data'!BD$4:BD$312,"&gt;0"))-(SUMIFS('Safeguard facility data'!BK$4:BK$312,'Safeguard facility data'!$Q$4:$Q$312,$A86,'Safeguard facility data'!BK$4:BK$312,"&gt;0"))</f>
        <v>0</v>
      </c>
      <c r="E86" s="67">
        <f>(SUMIFS('Safeguard facility data'!BE$4:BE$312,'Safeguard facility data'!$Q$4:$Q$312,$A86,'Safeguard facility data'!BE$4:BE$312,"&gt;0"))-(SUMIFS('Safeguard facility data'!BL$4:BL$312,'Safeguard facility data'!$Q$4:$Q$312,$A86,'Safeguard facility data'!BL$4:BL$312,"&gt;0"))</f>
        <v>0</v>
      </c>
      <c r="F86" s="67">
        <f>(SUMIFS('Safeguard facility data'!BF$4:BF$312,'Safeguard facility data'!$Q$4:$Q$312,$A86,'Safeguard facility data'!BF$4:BF$312,"&gt;0"))-(SUMIFS('Safeguard facility data'!BM$4:BM$312,'Safeguard facility data'!$Q$4:$Q$312,$A86,'Safeguard facility data'!BM$4:BM$312,"&gt;0"))</f>
        <v>0</v>
      </c>
      <c r="G86" s="61">
        <f t="shared" si="4"/>
        <v>0</v>
      </c>
      <c r="H86" s="67"/>
      <c r="I86" s="67"/>
      <c r="J86" s="67"/>
      <c r="K86" s="67"/>
      <c r="L86" s="67"/>
      <c r="M86" s="67"/>
      <c r="N86" s="67"/>
      <c r="O86" s="67"/>
      <c r="P86" s="67"/>
      <c r="Q86" s="67"/>
      <c r="R86" s="67"/>
      <c r="S86" s="67"/>
    </row>
    <row r="87" spans="1:19">
      <c r="A87" s="54" t="s">
        <v>129</v>
      </c>
      <c r="B87" s="67">
        <f>(SUMIFS('Safeguard facility data'!BB$4:BB$312,'Safeguard facility data'!$Q$4:$Q$312,$A87,'Safeguard facility data'!BB$4:BB$312,"&gt;0"))-(SUMIFS('Safeguard facility data'!BI$4:BI$312,'Safeguard facility data'!$Q$4:$Q$312,$A87,'Safeguard facility data'!BI$4:BI$312,"&gt;0"))</f>
        <v>0</v>
      </c>
      <c r="C87" s="67">
        <f>(SUMIFS('Safeguard facility data'!BC$4:BC$312,'Safeguard facility data'!$Q$4:$Q$312,$A87,'Safeguard facility data'!BC$4:BC$312,"&gt;0"))-(SUMIFS('Safeguard facility data'!BJ$4:BJ$312,'Safeguard facility data'!$Q$4:$Q$312,$A87,'Safeguard facility data'!BJ$4:BJ$312,"&gt;0"))</f>
        <v>0</v>
      </c>
      <c r="D87" s="67">
        <f>(SUMIFS('Safeguard facility data'!BD$4:BD$312,'Safeguard facility data'!$Q$4:$Q$312,$A87,'Safeguard facility data'!BD$4:BD$312,"&gt;0"))-(SUMIFS('Safeguard facility data'!BK$4:BK$312,'Safeguard facility data'!$Q$4:$Q$312,$A87,'Safeguard facility data'!BK$4:BK$312,"&gt;0"))</f>
        <v>0</v>
      </c>
      <c r="E87" s="67">
        <f>(SUMIFS('Safeguard facility data'!BE$4:BE$312,'Safeguard facility data'!$Q$4:$Q$312,$A87,'Safeguard facility data'!BE$4:BE$312,"&gt;0"))-(SUMIFS('Safeguard facility data'!BL$4:BL$312,'Safeguard facility data'!$Q$4:$Q$312,$A87,'Safeguard facility data'!BL$4:BL$312,"&gt;0"))</f>
        <v>0</v>
      </c>
      <c r="F87" s="67">
        <f>(SUMIFS('Safeguard facility data'!BF$4:BF$312,'Safeguard facility data'!$Q$4:$Q$312,$A87,'Safeguard facility data'!BF$4:BF$312,"&gt;0"))-(SUMIFS('Safeguard facility data'!BM$4:BM$312,'Safeguard facility data'!$Q$4:$Q$312,$A87,'Safeguard facility data'!BM$4:BM$312,"&gt;0"))</f>
        <v>0</v>
      </c>
      <c r="G87" s="61">
        <f t="shared" si="4"/>
        <v>0</v>
      </c>
      <c r="H87" s="67"/>
      <c r="I87" s="67"/>
      <c r="J87" s="67"/>
      <c r="K87" s="67"/>
      <c r="L87" s="67"/>
      <c r="M87" s="67"/>
      <c r="N87" s="67"/>
      <c r="O87" s="67"/>
      <c r="P87" s="67"/>
      <c r="Q87" s="67"/>
      <c r="R87" s="67"/>
      <c r="S87" s="67"/>
    </row>
    <row r="88" spans="1:19">
      <c r="A88" s="54" t="s">
        <v>166</v>
      </c>
      <c r="B88" s="67">
        <f>(SUMIFS('Safeguard facility data'!BB$4:BB$312,'Safeguard facility data'!$Q$4:$Q$312,$A88,'Safeguard facility data'!BB$4:BB$312,"&gt;0"))-(SUMIFS('Safeguard facility data'!BI$4:BI$312,'Safeguard facility data'!$Q$4:$Q$312,$A88,'Safeguard facility data'!BI$4:BI$312,"&gt;0"))</f>
        <v>0</v>
      </c>
      <c r="C88" s="67">
        <f>(SUMIFS('Safeguard facility data'!BC$4:BC$312,'Safeguard facility data'!$Q$4:$Q$312,$A88,'Safeguard facility data'!BC$4:BC$312,"&gt;0"))-(SUMIFS('Safeguard facility data'!BJ$4:BJ$312,'Safeguard facility data'!$Q$4:$Q$312,$A88,'Safeguard facility data'!BJ$4:BJ$312,"&gt;0"))</f>
        <v>0</v>
      </c>
      <c r="D88" s="67">
        <f>(SUMIFS('Safeguard facility data'!BD$4:BD$312,'Safeguard facility data'!$Q$4:$Q$312,$A88,'Safeguard facility data'!BD$4:BD$312,"&gt;0"))-(SUMIFS('Safeguard facility data'!BK$4:BK$312,'Safeguard facility data'!$Q$4:$Q$312,$A88,'Safeguard facility data'!BK$4:BK$312,"&gt;0"))</f>
        <v>0</v>
      </c>
      <c r="E88" s="67">
        <f>(SUMIFS('Safeguard facility data'!BE$4:BE$312,'Safeguard facility data'!$Q$4:$Q$312,$A88,'Safeguard facility data'!BE$4:BE$312,"&gt;0"))-(SUMIFS('Safeguard facility data'!BL$4:BL$312,'Safeguard facility data'!$Q$4:$Q$312,$A88,'Safeguard facility data'!BL$4:BL$312,"&gt;0"))</f>
        <v>0</v>
      </c>
      <c r="F88" s="67">
        <f>(SUMIFS('Safeguard facility data'!BF$4:BF$312,'Safeguard facility data'!$Q$4:$Q$312,$A88,'Safeguard facility data'!BF$4:BF$312,"&gt;0"))-(SUMIFS('Safeguard facility data'!BM$4:BM$312,'Safeguard facility data'!$Q$4:$Q$312,$A88,'Safeguard facility data'!BM$4:BM$312,"&gt;0"))</f>
        <v>0</v>
      </c>
      <c r="G88" s="61">
        <f t="shared" si="4"/>
        <v>0</v>
      </c>
      <c r="H88" s="67"/>
      <c r="I88" s="67"/>
      <c r="J88" s="67"/>
      <c r="K88" s="67"/>
      <c r="L88" s="67"/>
      <c r="M88" s="67"/>
      <c r="N88" s="67"/>
      <c r="O88" s="67"/>
      <c r="P88" s="67"/>
      <c r="Q88" s="67"/>
      <c r="R88" s="67"/>
      <c r="S88" s="67"/>
    </row>
    <row r="89" spans="1:19">
      <c r="A89" s="54" t="s">
        <v>241</v>
      </c>
      <c r="B89" s="67">
        <f>(SUMIFS('Safeguard facility data'!BB$4:BB$312,'Safeguard facility data'!$Q$4:$Q$312,$A89,'Safeguard facility data'!BB$4:BB$312,"&gt;0"))-(SUMIFS('Safeguard facility data'!BI$4:BI$312,'Safeguard facility data'!$Q$4:$Q$312,$A89,'Safeguard facility data'!BI$4:BI$312,"&gt;0"))</f>
        <v>0</v>
      </c>
      <c r="C89" s="67">
        <f>(SUMIFS('Safeguard facility data'!BC$4:BC$312,'Safeguard facility data'!$Q$4:$Q$312,$A89,'Safeguard facility data'!BC$4:BC$312,"&gt;0"))-(SUMIFS('Safeguard facility data'!BJ$4:BJ$312,'Safeguard facility data'!$Q$4:$Q$312,$A89,'Safeguard facility data'!BJ$4:BJ$312,"&gt;0"))</f>
        <v>0</v>
      </c>
      <c r="D89" s="67">
        <f>(SUMIFS('Safeguard facility data'!BD$4:BD$312,'Safeguard facility data'!$Q$4:$Q$312,$A89,'Safeguard facility data'!BD$4:BD$312,"&gt;0"))-(SUMIFS('Safeguard facility data'!BK$4:BK$312,'Safeguard facility data'!$Q$4:$Q$312,$A89,'Safeguard facility data'!BK$4:BK$312,"&gt;0"))</f>
        <v>0</v>
      </c>
      <c r="E89" s="67">
        <f>(SUMIFS('Safeguard facility data'!BE$4:BE$312,'Safeguard facility data'!$Q$4:$Q$312,$A89,'Safeguard facility data'!BE$4:BE$312,"&gt;0"))-(SUMIFS('Safeguard facility data'!BL$4:BL$312,'Safeguard facility data'!$Q$4:$Q$312,$A89,'Safeguard facility data'!BL$4:BL$312,"&gt;0"))</f>
        <v>0</v>
      </c>
      <c r="F89" s="67">
        <f>(SUMIFS('Safeguard facility data'!BF$4:BF$312,'Safeguard facility data'!$Q$4:$Q$312,$A89,'Safeguard facility data'!BF$4:BF$312,"&gt;0"))-(SUMIFS('Safeguard facility data'!BM$4:BM$312,'Safeguard facility data'!$Q$4:$Q$312,$A89,'Safeguard facility data'!BM$4:BM$312,"&gt;0"))</f>
        <v>0</v>
      </c>
      <c r="G89" s="61">
        <f t="shared" si="4"/>
        <v>0</v>
      </c>
      <c r="H89" s="67"/>
      <c r="I89" s="67"/>
      <c r="J89" s="67"/>
      <c r="K89" s="67"/>
      <c r="L89" s="67"/>
      <c r="M89" s="67"/>
      <c r="N89" s="67"/>
      <c r="O89" s="67"/>
      <c r="P89" s="67"/>
      <c r="Q89" s="67"/>
      <c r="R89" s="67"/>
      <c r="S89" s="67"/>
    </row>
    <row r="90" spans="1:19">
      <c r="A90" s="54" t="s">
        <v>167</v>
      </c>
      <c r="B90" s="67">
        <f>(SUMIFS('Safeguard facility data'!BB$4:BB$312,'Safeguard facility data'!$Q$4:$Q$312,$A90,'Safeguard facility data'!BB$4:BB$312,"&gt;0"))-(SUMIFS('Safeguard facility data'!BI$4:BI$312,'Safeguard facility data'!$Q$4:$Q$312,$A90,'Safeguard facility data'!BI$4:BI$312,"&gt;0"))</f>
        <v>0</v>
      </c>
      <c r="C90" s="67">
        <f>(SUMIFS('Safeguard facility data'!BC$4:BC$312,'Safeguard facility data'!$Q$4:$Q$312,$A90,'Safeguard facility data'!BC$4:BC$312,"&gt;0"))-(SUMIFS('Safeguard facility data'!BJ$4:BJ$312,'Safeguard facility data'!$Q$4:$Q$312,$A90,'Safeguard facility data'!BJ$4:BJ$312,"&gt;0"))</f>
        <v>0</v>
      </c>
      <c r="D90" s="67">
        <f>(SUMIFS('Safeguard facility data'!BD$4:BD$312,'Safeguard facility data'!$Q$4:$Q$312,$A90,'Safeguard facility data'!BD$4:BD$312,"&gt;0"))-(SUMIFS('Safeguard facility data'!BK$4:BK$312,'Safeguard facility data'!$Q$4:$Q$312,$A90,'Safeguard facility data'!BK$4:BK$312,"&gt;0"))</f>
        <v>0</v>
      </c>
      <c r="E90" s="67">
        <f>(SUMIFS('Safeguard facility data'!BE$4:BE$312,'Safeguard facility data'!$Q$4:$Q$312,$A90,'Safeguard facility data'!BE$4:BE$312,"&gt;0"))-(SUMIFS('Safeguard facility data'!BL$4:BL$312,'Safeguard facility data'!$Q$4:$Q$312,$A90,'Safeguard facility data'!BL$4:BL$312,"&gt;0"))</f>
        <v>0</v>
      </c>
      <c r="F90" s="67">
        <f>(SUMIFS('Safeguard facility data'!BF$4:BF$312,'Safeguard facility data'!$Q$4:$Q$312,$A90,'Safeguard facility data'!BF$4:BF$312,"&gt;0"))-(SUMIFS('Safeguard facility data'!BM$4:BM$312,'Safeguard facility data'!$Q$4:$Q$312,$A90,'Safeguard facility data'!BM$4:BM$312,"&gt;0"))</f>
        <v>0</v>
      </c>
      <c r="G90" s="61">
        <f t="shared" si="4"/>
        <v>0</v>
      </c>
      <c r="H90" s="67"/>
      <c r="I90" s="67"/>
      <c r="J90" s="67"/>
      <c r="K90" s="67"/>
      <c r="L90" s="67"/>
      <c r="M90" s="67"/>
      <c r="N90" s="67"/>
      <c r="O90" s="67"/>
      <c r="P90" s="67"/>
      <c r="Q90" s="67"/>
      <c r="R90" s="67"/>
      <c r="S90" s="67"/>
    </row>
    <row r="91" spans="1:19">
      <c r="A91" s="54" t="s">
        <v>242</v>
      </c>
      <c r="B91" s="67">
        <f>(SUMIFS('Safeguard facility data'!BB$4:BB$312,'Safeguard facility data'!$Q$4:$Q$312,$A91,'Safeguard facility data'!BB$4:BB$312,"&gt;0"))-(SUMIFS('Safeguard facility data'!BI$4:BI$312,'Safeguard facility data'!$Q$4:$Q$312,$A91,'Safeguard facility data'!BI$4:BI$312,"&gt;0"))</f>
        <v>0</v>
      </c>
      <c r="C91" s="67">
        <f>(SUMIFS('Safeguard facility data'!BC$4:BC$312,'Safeguard facility data'!$Q$4:$Q$312,$A91,'Safeguard facility data'!BC$4:BC$312,"&gt;0"))-(SUMIFS('Safeguard facility data'!BJ$4:BJ$312,'Safeguard facility data'!$Q$4:$Q$312,$A91,'Safeguard facility data'!BJ$4:BJ$312,"&gt;0"))</f>
        <v>0</v>
      </c>
      <c r="D91" s="67">
        <f>(SUMIFS('Safeguard facility data'!BD$4:BD$312,'Safeguard facility data'!$Q$4:$Q$312,$A91,'Safeguard facility data'!BD$4:BD$312,"&gt;0"))-(SUMIFS('Safeguard facility data'!BK$4:BK$312,'Safeguard facility data'!$Q$4:$Q$312,$A91,'Safeguard facility data'!BK$4:BK$312,"&gt;0"))</f>
        <v>0</v>
      </c>
      <c r="E91" s="67">
        <f>(SUMIFS('Safeguard facility data'!BE$4:BE$312,'Safeguard facility data'!$Q$4:$Q$312,$A91,'Safeguard facility data'!BE$4:BE$312,"&gt;0"))-(SUMIFS('Safeguard facility data'!BL$4:BL$312,'Safeguard facility data'!$Q$4:$Q$312,$A91,'Safeguard facility data'!BL$4:BL$312,"&gt;0"))</f>
        <v>0</v>
      </c>
      <c r="F91" s="67">
        <f>(SUMIFS('Safeguard facility data'!BF$4:BF$312,'Safeguard facility data'!$Q$4:$Q$312,$A91,'Safeguard facility data'!BF$4:BF$312,"&gt;0"))-(SUMIFS('Safeguard facility data'!BM$4:BM$312,'Safeguard facility data'!$Q$4:$Q$312,$A91,'Safeguard facility data'!BM$4:BM$312,"&gt;0"))</f>
        <v>0</v>
      </c>
      <c r="G91" s="61">
        <f t="shared" si="4"/>
        <v>0</v>
      </c>
      <c r="H91" s="67"/>
      <c r="I91" s="67"/>
      <c r="J91" s="67"/>
      <c r="K91" s="67"/>
      <c r="L91" s="67"/>
      <c r="M91" s="67"/>
      <c r="N91" s="67"/>
      <c r="O91" s="67"/>
      <c r="P91" s="67"/>
      <c r="Q91" s="67"/>
      <c r="R91" s="67"/>
      <c r="S91" s="67"/>
    </row>
    <row r="92" spans="1:19">
      <c r="A92" s="54" t="s">
        <v>168</v>
      </c>
      <c r="B92" s="67">
        <f>(SUMIFS('Safeguard facility data'!BB$4:BB$312,'Safeguard facility data'!$Q$4:$Q$312,$A92,'Safeguard facility data'!BB$4:BB$312,"&gt;0"))-(SUMIFS('Safeguard facility data'!BI$4:BI$312,'Safeguard facility data'!$Q$4:$Q$312,$A92,'Safeguard facility data'!BI$4:BI$312,"&gt;0"))</f>
        <v>0</v>
      </c>
      <c r="C92" s="67">
        <f>(SUMIFS('Safeguard facility data'!BC$4:BC$312,'Safeguard facility data'!$Q$4:$Q$312,$A92,'Safeguard facility data'!BC$4:BC$312,"&gt;0"))-(SUMIFS('Safeguard facility data'!BJ$4:BJ$312,'Safeguard facility data'!$Q$4:$Q$312,$A92,'Safeguard facility data'!BJ$4:BJ$312,"&gt;0"))</f>
        <v>0</v>
      </c>
      <c r="D92" s="67">
        <f>(SUMIFS('Safeguard facility data'!BD$4:BD$312,'Safeguard facility data'!$Q$4:$Q$312,$A92,'Safeguard facility data'!BD$4:BD$312,"&gt;0"))-(SUMIFS('Safeguard facility data'!BK$4:BK$312,'Safeguard facility data'!$Q$4:$Q$312,$A92,'Safeguard facility data'!BK$4:BK$312,"&gt;0"))</f>
        <v>0</v>
      </c>
      <c r="E92" s="67">
        <f>(SUMIFS('Safeguard facility data'!BE$4:BE$312,'Safeguard facility data'!$Q$4:$Q$312,$A92,'Safeguard facility data'!BE$4:BE$312,"&gt;0"))-(SUMIFS('Safeguard facility data'!BL$4:BL$312,'Safeguard facility data'!$Q$4:$Q$312,$A92,'Safeguard facility data'!BL$4:BL$312,"&gt;0"))</f>
        <v>0</v>
      </c>
      <c r="F92" s="67">
        <f>(SUMIFS('Safeguard facility data'!BF$4:BF$312,'Safeguard facility data'!$Q$4:$Q$312,$A92,'Safeguard facility data'!BF$4:BF$312,"&gt;0"))-(SUMIFS('Safeguard facility data'!BM$4:BM$312,'Safeguard facility data'!$Q$4:$Q$312,$A92,'Safeguard facility data'!BM$4:BM$312,"&gt;0"))</f>
        <v>0</v>
      </c>
      <c r="G92" s="61">
        <f t="shared" si="4"/>
        <v>0</v>
      </c>
      <c r="H92" s="67"/>
      <c r="I92" s="67"/>
      <c r="J92" s="67"/>
      <c r="K92" s="67"/>
      <c r="L92" s="67"/>
      <c r="M92" s="67"/>
      <c r="N92" s="67"/>
      <c r="O92" s="67"/>
      <c r="P92" s="67"/>
      <c r="Q92" s="67"/>
      <c r="R92" s="67"/>
      <c r="S92" s="67"/>
    </row>
    <row r="93" spans="1:19">
      <c r="A93" s="54" t="s">
        <v>243</v>
      </c>
      <c r="B93" s="67">
        <f>(SUMIFS('Safeguard facility data'!BB$4:BB$312,'Safeguard facility data'!$Q$4:$Q$312,$A93,'Safeguard facility data'!BB$4:BB$312,"&gt;0"))-(SUMIFS('Safeguard facility data'!BI$4:BI$312,'Safeguard facility data'!$Q$4:$Q$312,$A93,'Safeguard facility data'!BI$4:BI$312,"&gt;0"))</f>
        <v>0</v>
      </c>
      <c r="C93" s="67">
        <f>(SUMIFS('Safeguard facility data'!BC$4:BC$312,'Safeguard facility data'!$Q$4:$Q$312,$A93,'Safeguard facility data'!BC$4:BC$312,"&gt;0"))-(SUMIFS('Safeguard facility data'!BJ$4:BJ$312,'Safeguard facility data'!$Q$4:$Q$312,$A93,'Safeguard facility data'!BJ$4:BJ$312,"&gt;0"))</f>
        <v>0</v>
      </c>
      <c r="D93" s="67">
        <f>(SUMIFS('Safeguard facility data'!BD$4:BD$312,'Safeguard facility data'!$Q$4:$Q$312,$A93,'Safeguard facility data'!BD$4:BD$312,"&gt;0"))-(SUMIFS('Safeguard facility data'!BK$4:BK$312,'Safeguard facility data'!$Q$4:$Q$312,$A93,'Safeguard facility data'!BK$4:BK$312,"&gt;0"))</f>
        <v>0</v>
      </c>
      <c r="E93" s="67">
        <f>(SUMIFS('Safeguard facility data'!BE$4:BE$312,'Safeguard facility data'!$Q$4:$Q$312,$A93,'Safeguard facility data'!BE$4:BE$312,"&gt;0"))-(SUMIFS('Safeguard facility data'!BL$4:BL$312,'Safeguard facility data'!$Q$4:$Q$312,$A93,'Safeguard facility data'!BL$4:BL$312,"&gt;0"))</f>
        <v>0</v>
      </c>
      <c r="F93" s="67">
        <f>(SUMIFS('Safeguard facility data'!BF$4:BF$312,'Safeguard facility data'!$Q$4:$Q$312,$A93,'Safeguard facility data'!BF$4:BF$312,"&gt;0"))-(SUMIFS('Safeguard facility data'!BM$4:BM$312,'Safeguard facility data'!$Q$4:$Q$312,$A93,'Safeguard facility data'!BM$4:BM$312,"&gt;0"))</f>
        <v>0</v>
      </c>
      <c r="G93" s="61">
        <f t="shared" si="4"/>
        <v>0</v>
      </c>
      <c r="H93" s="67"/>
      <c r="I93" s="67"/>
      <c r="J93" s="67"/>
      <c r="K93" s="67"/>
      <c r="L93" s="67"/>
      <c r="M93" s="67"/>
      <c r="N93" s="67"/>
      <c r="O93" s="67"/>
      <c r="P93" s="67"/>
      <c r="Q93" s="67"/>
      <c r="R93" s="67"/>
      <c r="S93" s="67"/>
    </row>
    <row r="94" spans="1:19">
      <c r="A94" s="54" t="s">
        <v>169</v>
      </c>
      <c r="B94" s="67">
        <f>(SUMIFS('Safeguard facility data'!BB$4:BB$312,'Safeguard facility data'!$Q$4:$Q$312,$A94,'Safeguard facility data'!BB$4:BB$312,"&gt;0"))-(SUMIFS('Safeguard facility data'!BI$4:BI$312,'Safeguard facility data'!$Q$4:$Q$312,$A94,'Safeguard facility data'!BI$4:BI$312,"&gt;0"))</f>
        <v>0</v>
      </c>
      <c r="C94" s="67">
        <f>(SUMIFS('Safeguard facility data'!BC$4:BC$312,'Safeguard facility data'!$Q$4:$Q$312,$A94,'Safeguard facility data'!BC$4:BC$312,"&gt;0"))-(SUMIFS('Safeguard facility data'!BJ$4:BJ$312,'Safeguard facility data'!$Q$4:$Q$312,$A94,'Safeguard facility data'!BJ$4:BJ$312,"&gt;0"))</f>
        <v>0</v>
      </c>
      <c r="D94" s="67">
        <f>(SUMIFS('Safeguard facility data'!BD$4:BD$312,'Safeguard facility data'!$Q$4:$Q$312,$A94,'Safeguard facility data'!BD$4:BD$312,"&gt;0"))-(SUMIFS('Safeguard facility data'!BK$4:BK$312,'Safeguard facility data'!$Q$4:$Q$312,$A94,'Safeguard facility data'!BK$4:BK$312,"&gt;0"))</f>
        <v>0</v>
      </c>
      <c r="E94" s="67">
        <f>(SUMIFS('Safeguard facility data'!BE$4:BE$312,'Safeguard facility data'!$Q$4:$Q$312,$A94,'Safeguard facility data'!BE$4:BE$312,"&gt;0"))-(SUMIFS('Safeguard facility data'!BL$4:BL$312,'Safeguard facility data'!$Q$4:$Q$312,$A94,'Safeguard facility data'!BL$4:BL$312,"&gt;0"))</f>
        <v>0</v>
      </c>
      <c r="F94" s="67">
        <f>(SUMIFS('Safeguard facility data'!BF$4:BF$312,'Safeguard facility data'!$Q$4:$Q$312,$A94,'Safeguard facility data'!BF$4:BF$312,"&gt;0"))-(SUMIFS('Safeguard facility data'!BM$4:BM$312,'Safeguard facility data'!$Q$4:$Q$312,$A94,'Safeguard facility data'!BM$4:BM$312,"&gt;0"))</f>
        <v>0</v>
      </c>
      <c r="G94" s="61">
        <f t="shared" si="4"/>
        <v>0</v>
      </c>
      <c r="H94" s="67"/>
      <c r="I94" s="67"/>
      <c r="J94" s="67"/>
      <c r="K94" s="67"/>
      <c r="L94" s="67"/>
      <c r="M94" s="67"/>
      <c r="N94" s="67"/>
      <c r="O94" s="67"/>
      <c r="P94" s="67"/>
      <c r="Q94" s="67"/>
      <c r="R94" s="67"/>
      <c r="S94" s="67"/>
    </row>
    <row r="95" spans="1:19">
      <c r="A95" s="54" t="s">
        <v>244</v>
      </c>
      <c r="B95" s="67">
        <f>(SUMIFS('Safeguard facility data'!BB$4:BB$312,'Safeguard facility data'!$Q$4:$Q$312,$A95,'Safeguard facility data'!BB$4:BB$312,"&gt;0"))-(SUMIFS('Safeguard facility data'!BI$4:BI$312,'Safeguard facility data'!$Q$4:$Q$312,$A95,'Safeguard facility data'!BI$4:BI$312,"&gt;0"))</f>
        <v>0</v>
      </c>
      <c r="C95" s="67">
        <f>(SUMIFS('Safeguard facility data'!BC$4:BC$312,'Safeguard facility data'!$Q$4:$Q$312,$A95,'Safeguard facility data'!BC$4:BC$312,"&gt;0"))-(SUMIFS('Safeguard facility data'!BJ$4:BJ$312,'Safeguard facility data'!$Q$4:$Q$312,$A95,'Safeguard facility data'!BJ$4:BJ$312,"&gt;0"))</f>
        <v>0</v>
      </c>
      <c r="D95" s="67">
        <f>(SUMIFS('Safeguard facility data'!BD$4:BD$312,'Safeguard facility data'!$Q$4:$Q$312,$A95,'Safeguard facility data'!BD$4:BD$312,"&gt;0"))-(SUMIFS('Safeguard facility data'!BK$4:BK$312,'Safeguard facility data'!$Q$4:$Q$312,$A95,'Safeguard facility data'!BK$4:BK$312,"&gt;0"))</f>
        <v>0</v>
      </c>
      <c r="E95" s="67">
        <f>(SUMIFS('Safeguard facility data'!BE$4:BE$312,'Safeguard facility data'!$Q$4:$Q$312,$A95,'Safeguard facility data'!BE$4:BE$312,"&gt;0"))-(SUMIFS('Safeguard facility data'!BL$4:BL$312,'Safeguard facility data'!$Q$4:$Q$312,$A95,'Safeguard facility data'!BL$4:BL$312,"&gt;0"))</f>
        <v>0</v>
      </c>
      <c r="F95" s="67">
        <f>(SUMIFS('Safeguard facility data'!BF$4:BF$312,'Safeguard facility data'!$Q$4:$Q$312,$A95,'Safeguard facility data'!BF$4:BF$312,"&gt;0"))-(SUMIFS('Safeguard facility data'!BM$4:BM$312,'Safeguard facility data'!$Q$4:$Q$312,$A95,'Safeguard facility data'!BM$4:BM$312,"&gt;0"))</f>
        <v>0</v>
      </c>
      <c r="G95" s="61">
        <f t="shared" si="4"/>
        <v>0</v>
      </c>
      <c r="H95" s="67"/>
      <c r="I95" s="67"/>
      <c r="J95" s="67"/>
      <c r="K95" s="67"/>
      <c r="L95" s="67"/>
      <c r="M95" s="67"/>
      <c r="N95" s="67"/>
      <c r="O95" s="67"/>
      <c r="P95" s="67"/>
      <c r="Q95" s="67"/>
      <c r="R95" s="67"/>
      <c r="S95" s="67"/>
    </row>
    <row r="96" spans="1:19">
      <c r="A96" s="54" t="s">
        <v>245</v>
      </c>
      <c r="B96" s="67">
        <f>(SUMIFS('Safeguard facility data'!BB$4:BB$312,'Safeguard facility data'!$Q$4:$Q$312,$A96,'Safeguard facility data'!BB$4:BB$312,"&gt;0"))-(SUMIFS('Safeguard facility data'!BI$4:BI$312,'Safeguard facility data'!$Q$4:$Q$312,$A96,'Safeguard facility data'!BI$4:BI$312,"&gt;0"))</f>
        <v>0</v>
      </c>
      <c r="C96" s="67">
        <f>(SUMIFS('Safeguard facility data'!BC$4:BC$312,'Safeguard facility data'!$Q$4:$Q$312,$A96,'Safeguard facility data'!BC$4:BC$312,"&gt;0"))-(SUMIFS('Safeguard facility data'!BJ$4:BJ$312,'Safeguard facility data'!$Q$4:$Q$312,$A96,'Safeguard facility data'!BJ$4:BJ$312,"&gt;0"))</f>
        <v>0</v>
      </c>
      <c r="D96" s="67">
        <f>(SUMIFS('Safeguard facility data'!BD$4:BD$312,'Safeguard facility data'!$Q$4:$Q$312,$A96,'Safeguard facility data'!BD$4:BD$312,"&gt;0"))-(SUMIFS('Safeguard facility data'!BK$4:BK$312,'Safeguard facility data'!$Q$4:$Q$312,$A96,'Safeguard facility data'!BK$4:BK$312,"&gt;0"))</f>
        <v>0</v>
      </c>
      <c r="E96" s="67">
        <f>(SUMIFS('Safeguard facility data'!BE$4:BE$312,'Safeguard facility data'!$Q$4:$Q$312,$A96,'Safeguard facility data'!BE$4:BE$312,"&gt;0"))-(SUMIFS('Safeguard facility data'!BL$4:BL$312,'Safeguard facility data'!$Q$4:$Q$312,$A96,'Safeguard facility data'!BL$4:BL$312,"&gt;0"))</f>
        <v>0</v>
      </c>
      <c r="F96" s="67">
        <f>(SUMIFS('Safeguard facility data'!BF$4:BF$312,'Safeguard facility data'!$Q$4:$Q$312,$A96,'Safeguard facility data'!BF$4:BF$312,"&gt;0"))-(SUMIFS('Safeguard facility data'!BM$4:BM$312,'Safeguard facility data'!$Q$4:$Q$312,$A96,'Safeguard facility data'!BM$4:BM$312,"&gt;0"))</f>
        <v>0</v>
      </c>
      <c r="G96" s="61">
        <f t="shared" si="4"/>
        <v>0</v>
      </c>
      <c r="H96" s="67"/>
      <c r="I96" s="67"/>
      <c r="J96" s="67"/>
      <c r="K96" s="67"/>
      <c r="L96" s="67"/>
      <c r="M96" s="67"/>
      <c r="N96" s="67"/>
      <c r="O96" s="67"/>
      <c r="P96" s="67"/>
      <c r="Q96" s="67"/>
      <c r="R96" s="67"/>
      <c r="S96" s="67"/>
    </row>
    <row r="97" spans="1:19">
      <c r="A97" s="54" t="s">
        <v>267</v>
      </c>
      <c r="B97" s="67">
        <f>(SUMIFS('Safeguard facility data'!BB$4:BB$312,'Safeguard facility data'!$Q$4:$Q$312,$A97,'Safeguard facility data'!BB$4:BB$312,"&gt;0"))-(SUMIFS('Safeguard facility data'!BI$4:BI$312,'Safeguard facility data'!$Q$4:$Q$312,$A97,'Safeguard facility data'!BI$4:BI$312,"&gt;0"))</f>
        <v>0</v>
      </c>
      <c r="C97" s="67">
        <f>(SUMIFS('Safeguard facility data'!BC$4:BC$312,'Safeguard facility data'!$Q$4:$Q$312,$A97,'Safeguard facility data'!BC$4:BC$312,"&gt;0"))-(SUMIFS('Safeguard facility data'!BJ$4:BJ$312,'Safeguard facility data'!$Q$4:$Q$312,$A97,'Safeguard facility data'!BJ$4:BJ$312,"&gt;0"))</f>
        <v>0</v>
      </c>
      <c r="D97" s="67">
        <f>(SUMIFS('Safeguard facility data'!BD$4:BD$312,'Safeguard facility data'!$Q$4:$Q$312,$A97,'Safeguard facility data'!BD$4:BD$312,"&gt;0"))-(SUMIFS('Safeguard facility data'!BK$4:BK$312,'Safeguard facility data'!$Q$4:$Q$312,$A97,'Safeguard facility data'!BK$4:BK$312,"&gt;0"))</f>
        <v>0</v>
      </c>
      <c r="E97" s="67">
        <f>(SUMIFS('Safeguard facility data'!BE$4:BE$312,'Safeguard facility data'!$Q$4:$Q$312,$A97,'Safeguard facility data'!BE$4:BE$312,"&gt;0"))-(SUMIFS('Safeguard facility data'!BL$4:BL$312,'Safeguard facility data'!$Q$4:$Q$312,$A97,'Safeguard facility data'!BL$4:BL$312,"&gt;0"))</f>
        <v>0</v>
      </c>
      <c r="F97" s="67">
        <f>(SUMIFS('Safeguard facility data'!BF$4:BF$312,'Safeguard facility data'!$Q$4:$Q$312,$A97,'Safeguard facility data'!BF$4:BF$312,"&gt;0"))-(SUMIFS('Safeguard facility data'!BM$4:BM$312,'Safeguard facility data'!$Q$4:$Q$312,$A97,'Safeguard facility data'!BM$4:BM$312,"&gt;0"))</f>
        <v>0</v>
      </c>
      <c r="G97" s="61">
        <f t="shared" si="4"/>
        <v>0</v>
      </c>
      <c r="H97" s="67"/>
      <c r="I97" s="67"/>
      <c r="J97" s="67"/>
      <c r="K97" s="67"/>
      <c r="L97" s="67"/>
      <c r="M97" s="67"/>
      <c r="N97" s="67"/>
      <c r="O97" s="67"/>
      <c r="P97" s="67"/>
      <c r="Q97" s="67"/>
      <c r="R97" s="67"/>
      <c r="S97" s="67"/>
    </row>
    <row r="98" spans="1:19">
      <c r="A98" s="54" t="s">
        <v>269</v>
      </c>
      <c r="B98" s="67">
        <f>(SUMIFS('Safeguard facility data'!BB$4:BB$312,'Safeguard facility data'!$Q$4:$Q$312,$A98,'Safeguard facility data'!BB$4:BB$312,"&gt;0"))-(SUMIFS('Safeguard facility data'!BI$4:BI$312,'Safeguard facility data'!$Q$4:$Q$312,$A98,'Safeguard facility data'!BI$4:BI$312,"&gt;0"))</f>
        <v>0</v>
      </c>
      <c r="C98" s="67">
        <f>(SUMIFS('Safeguard facility data'!BC$4:BC$312,'Safeguard facility data'!$Q$4:$Q$312,$A98,'Safeguard facility data'!BC$4:BC$312,"&gt;0"))-(SUMIFS('Safeguard facility data'!BJ$4:BJ$312,'Safeguard facility data'!$Q$4:$Q$312,$A98,'Safeguard facility data'!BJ$4:BJ$312,"&gt;0"))</f>
        <v>0</v>
      </c>
      <c r="D98" s="67">
        <f>(SUMIFS('Safeguard facility data'!BD$4:BD$312,'Safeguard facility data'!$Q$4:$Q$312,$A98,'Safeguard facility data'!BD$4:BD$312,"&gt;0"))-(SUMIFS('Safeguard facility data'!BK$4:BK$312,'Safeguard facility data'!$Q$4:$Q$312,$A98,'Safeguard facility data'!BK$4:BK$312,"&gt;0"))</f>
        <v>0</v>
      </c>
      <c r="E98" s="67">
        <f>(SUMIFS('Safeguard facility data'!BE$4:BE$312,'Safeguard facility data'!$Q$4:$Q$312,$A98,'Safeguard facility data'!BE$4:BE$312,"&gt;0"))-(SUMIFS('Safeguard facility data'!BL$4:BL$312,'Safeguard facility data'!$Q$4:$Q$312,$A98,'Safeguard facility data'!BL$4:BL$312,"&gt;0"))</f>
        <v>0</v>
      </c>
      <c r="F98" s="67">
        <f>(SUMIFS('Safeguard facility data'!BF$4:BF$312,'Safeguard facility data'!$Q$4:$Q$312,$A98,'Safeguard facility data'!BF$4:BF$312,"&gt;0"))-(SUMIFS('Safeguard facility data'!BM$4:BM$312,'Safeguard facility data'!$Q$4:$Q$312,$A98,'Safeguard facility data'!BM$4:BM$312,"&gt;0"))</f>
        <v>0</v>
      </c>
      <c r="G98" s="61">
        <f t="shared" si="4"/>
        <v>0</v>
      </c>
      <c r="H98" s="67"/>
      <c r="I98" s="67"/>
      <c r="J98" s="67"/>
      <c r="K98" s="67"/>
      <c r="L98" s="67"/>
      <c r="M98" s="67"/>
      <c r="N98" s="67"/>
      <c r="O98" s="67"/>
      <c r="P98" s="67"/>
      <c r="Q98" s="67"/>
      <c r="R98" s="67"/>
      <c r="S98" s="67"/>
    </row>
    <row r="99" spans="1:19">
      <c r="A99" s="54" t="s">
        <v>170</v>
      </c>
      <c r="B99" s="67">
        <f>(SUMIFS('Safeguard facility data'!BB$4:BB$312,'Safeguard facility data'!$Q$4:$Q$312,$A99,'Safeguard facility data'!BB$4:BB$312,"&gt;0"))-(SUMIFS('Safeguard facility data'!BI$4:BI$312,'Safeguard facility data'!$Q$4:$Q$312,$A99,'Safeguard facility data'!BI$4:BI$312,"&gt;0"))</f>
        <v>0</v>
      </c>
      <c r="C99" s="67">
        <f>(SUMIFS('Safeguard facility data'!BC$4:BC$312,'Safeguard facility data'!$Q$4:$Q$312,$A99,'Safeguard facility data'!BC$4:BC$312,"&gt;0"))-(SUMIFS('Safeguard facility data'!BJ$4:BJ$312,'Safeguard facility data'!$Q$4:$Q$312,$A99,'Safeguard facility data'!BJ$4:BJ$312,"&gt;0"))</f>
        <v>0</v>
      </c>
      <c r="D99" s="67">
        <f>(SUMIFS('Safeguard facility data'!BD$4:BD$312,'Safeguard facility data'!$Q$4:$Q$312,$A99,'Safeguard facility data'!BD$4:BD$312,"&gt;0"))-(SUMIFS('Safeguard facility data'!BK$4:BK$312,'Safeguard facility data'!$Q$4:$Q$312,$A99,'Safeguard facility data'!BK$4:BK$312,"&gt;0"))</f>
        <v>0</v>
      </c>
      <c r="E99" s="67">
        <f>(SUMIFS('Safeguard facility data'!BE$4:BE$312,'Safeguard facility data'!$Q$4:$Q$312,$A99,'Safeguard facility data'!BE$4:BE$312,"&gt;0"))-(SUMIFS('Safeguard facility data'!BL$4:BL$312,'Safeguard facility data'!$Q$4:$Q$312,$A99,'Safeguard facility data'!BL$4:BL$312,"&gt;0"))</f>
        <v>0</v>
      </c>
      <c r="F99" s="67">
        <f>(SUMIFS('Safeguard facility data'!BF$4:BF$312,'Safeguard facility data'!$Q$4:$Q$312,$A99,'Safeguard facility data'!BF$4:BF$312,"&gt;0"))-(SUMIFS('Safeguard facility data'!BM$4:BM$312,'Safeguard facility data'!$Q$4:$Q$312,$A99,'Safeguard facility data'!BM$4:BM$312,"&gt;0"))</f>
        <v>0</v>
      </c>
      <c r="G99" s="61">
        <f t="shared" si="4"/>
        <v>0</v>
      </c>
      <c r="H99" s="67"/>
      <c r="I99" s="67"/>
      <c r="J99" s="67"/>
      <c r="K99" s="67"/>
      <c r="L99" s="67"/>
      <c r="M99" s="67"/>
      <c r="N99" s="67"/>
      <c r="O99" s="67"/>
      <c r="P99" s="67"/>
      <c r="Q99" s="67"/>
      <c r="R99" s="67"/>
      <c r="S99" s="67"/>
    </row>
    <row r="100" spans="1:19">
      <c r="A100" s="54" t="s">
        <v>246</v>
      </c>
      <c r="B100" s="67">
        <f>(SUMIFS('Safeguard facility data'!BB$4:BB$312,'Safeguard facility data'!$Q$4:$Q$312,$A100,'Safeguard facility data'!BB$4:BB$312,"&gt;0"))-(SUMIFS('Safeguard facility data'!BI$4:BI$312,'Safeguard facility data'!$Q$4:$Q$312,$A100,'Safeguard facility data'!BI$4:BI$312,"&gt;0"))</f>
        <v>0</v>
      </c>
      <c r="C100" s="67">
        <f>(SUMIFS('Safeguard facility data'!BC$4:BC$312,'Safeguard facility data'!$Q$4:$Q$312,$A100,'Safeguard facility data'!BC$4:BC$312,"&gt;0"))-(SUMIFS('Safeguard facility data'!BJ$4:BJ$312,'Safeguard facility data'!$Q$4:$Q$312,$A100,'Safeguard facility data'!BJ$4:BJ$312,"&gt;0"))</f>
        <v>0</v>
      </c>
      <c r="D100" s="67">
        <f>(SUMIFS('Safeguard facility data'!BD$4:BD$312,'Safeguard facility data'!$Q$4:$Q$312,$A100,'Safeguard facility data'!BD$4:BD$312,"&gt;0"))-(SUMIFS('Safeguard facility data'!BK$4:BK$312,'Safeguard facility data'!$Q$4:$Q$312,$A100,'Safeguard facility data'!BK$4:BK$312,"&gt;0"))</f>
        <v>0</v>
      </c>
      <c r="E100" s="67">
        <f>(SUMIFS('Safeguard facility data'!BE$4:BE$312,'Safeguard facility data'!$Q$4:$Q$312,$A100,'Safeguard facility data'!BE$4:BE$312,"&gt;0"))-(SUMIFS('Safeguard facility data'!BL$4:BL$312,'Safeguard facility data'!$Q$4:$Q$312,$A100,'Safeguard facility data'!BL$4:BL$312,"&gt;0"))</f>
        <v>0</v>
      </c>
      <c r="F100" s="67">
        <f>(SUMIFS('Safeguard facility data'!BF$4:BF$312,'Safeguard facility data'!$Q$4:$Q$312,$A100,'Safeguard facility data'!BF$4:BF$312,"&gt;0"))-(SUMIFS('Safeguard facility data'!BM$4:BM$312,'Safeguard facility data'!$Q$4:$Q$312,$A100,'Safeguard facility data'!BM$4:BM$312,"&gt;0"))</f>
        <v>0</v>
      </c>
      <c r="G100" s="61">
        <f t="shared" ref="G100:G131" si="5">SUM(B100:F100)</f>
        <v>0</v>
      </c>
      <c r="H100" s="67"/>
      <c r="I100" s="67"/>
      <c r="J100" s="67"/>
      <c r="K100" s="67"/>
      <c r="L100" s="67"/>
      <c r="M100" s="67"/>
      <c r="N100" s="67"/>
      <c r="O100" s="67"/>
      <c r="P100" s="67"/>
      <c r="Q100" s="67"/>
      <c r="R100" s="67"/>
      <c r="S100" s="67"/>
    </row>
    <row r="101" spans="1:19">
      <c r="A101" s="54" t="s">
        <v>171</v>
      </c>
      <c r="B101" s="67">
        <f>(SUMIFS('Safeguard facility data'!BB$4:BB$312,'Safeguard facility data'!$Q$4:$Q$312,$A101,'Safeguard facility data'!BB$4:BB$312,"&gt;0"))-(SUMIFS('Safeguard facility data'!BI$4:BI$312,'Safeguard facility data'!$Q$4:$Q$312,$A101,'Safeguard facility data'!BI$4:BI$312,"&gt;0"))</f>
        <v>0</v>
      </c>
      <c r="C101" s="67">
        <f>(SUMIFS('Safeguard facility data'!BC$4:BC$312,'Safeguard facility data'!$Q$4:$Q$312,$A101,'Safeguard facility data'!BC$4:BC$312,"&gt;0"))-(SUMIFS('Safeguard facility data'!BJ$4:BJ$312,'Safeguard facility data'!$Q$4:$Q$312,$A101,'Safeguard facility data'!BJ$4:BJ$312,"&gt;0"))</f>
        <v>0</v>
      </c>
      <c r="D101" s="67">
        <f>(SUMIFS('Safeguard facility data'!BD$4:BD$312,'Safeguard facility data'!$Q$4:$Q$312,$A101,'Safeguard facility data'!BD$4:BD$312,"&gt;0"))-(SUMIFS('Safeguard facility data'!BK$4:BK$312,'Safeguard facility data'!$Q$4:$Q$312,$A101,'Safeguard facility data'!BK$4:BK$312,"&gt;0"))</f>
        <v>0</v>
      </c>
      <c r="E101" s="67">
        <f>(SUMIFS('Safeguard facility data'!BE$4:BE$312,'Safeguard facility data'!$Q$4:$Q$312,$A101,'Safeguard facility data'!BE$4:BE$312,"&gt;0"))-(SUMIFS('Safeguard facility data'!BL$4:BL$312,'Safeguard facility data'!$Q$4:$Q$312,$A101,'Safeguard facility data'!BL$4:BL$312,"&gt;0"))</f>
        <v>0</v>
      </c>
      <c r="F101" s="67">
        <f>(SUMIFS('Safeguard facility data'!BF$4:BF$312,'Safeguard facility data'!$Q$4:$Q$312,$A101,'Safeguard facility data'!BF$4:BF$312,"&gt;0"))-(SUMIFS('Safeguard facility data'!BM$4:BM$312,'Safeguard facility data'!$Q$4:$Q$312,$A101,'Safeguard facility data'!BM$4:BM$312,"&gt;0"))</f>
        <v>0</v>
      </c>
      <c r="G101" s="61">
        <f t="shared" si="5"/>
        <v>0</v>
      </c>
      <c r="H101" s="67"/>
      <c r="I101" s="67"/>
      <c r="J101" s="67"/>
      <c r="K101" s="67"/>
      <c r="L101" s="67"/>
      <c r="M101" s="67"/>
      <c r="N101" s="67"/>
      <c r="O101" s="67"/>
      <c r="P101" s="67"/>
      <c r="Q101" s="67"/>
      <c r="R101" s="67"/>
      <c r="S101" s="67"/>
    </row>
    <row r="102" spans="1:19">
      <c r="A102" s="54" t="s">
        <v>172</v>
      </c>
      <c r="B102" s="67">
        <f>(SUMIFS('Safeguard facility data'!BB$4:BB$312,'Safeguard facility data'!$Q$4:$Q$312,$A102,'Safeguard facility data'!BB$4:BB$312,"&gt;0"))-(SUMIFS('Safeguard facility data'!BI$4:BI$312,'Safeguard facility data'!$Q$4:$Q$312,$A102,'Safeguard facility data'!BI$4:BI$312,"&gt;0"))</f>
        <v>0</v>
      </c>
      <c r="C102" s="67">
        <f>(SUMIFS('Safeguard facility data'!BC$4:BC$312,'Safeguard facility data'!$Q$4:$Q$312,$A102,'Safeguard facility data'!BC$4:BC$312,"&gt;0"))-(SUMIFS('Safeguard facility data'!BJ$4:BJ$312,'Safeguard facility data'!$Q$4:$Q$312,$A102,'Safeguard facility data'!BJ$4:BJ$312,"&gt;0"))</f>
        <v>0</v>
      </c>
      <c r="D102" s="67">
        <f>(SUMIFS('Safeguard facility data'!BD$4:BD$312,'Safeguard facility data'!$Q$4:$Q$312,$A102,'Safeguard facility data'!BD$4:BD$312,"&gt;0"))-(SUMIFS('Safeguard facility data'!BK$4:BK$312,'Safeguard facility data'!$Q$4:$Q$312,$A102,'Safeguard facility data'!BK$4:BK$312,"&gt;0"))</f>
        <v>0</v>
      </c>
      <c r="E102" s="67">
        <f>(SUMIFS('Safeguard facility data'!BE$4:BE$312,'Safeguard facility data'!$Q$4:$Q$312,$A102,'Safeguard facility data'!BE$4:BE$312,"&gt;0"))-(SUMIFS('Safeguard facility data'!BL$4:BL$312,'Safeguard facility data'!$Q$4:$Q$312,$A102,'Safeguard facility data'!BL$4:BL$312,"&gt;0"))</f>
        <v>0</v>
      </c>
      <c r="F102" s="67">
        <f>(SUMIFS('Safeguard facility data'!BF$4:BF$312,'Safeguard facility data'!$Q$4:$Q$312,$A102,'Safeguard facility data'!BF$4:BF$312,"&gt;0"))-(SUMIFS('Safeguard facility data'!BM$4:BM$312,'Safeguard facility data'!$Q$4:$Q$312,$A102,'Safeguard facility data'!BM$4:BM$312,"&gt;0"))</f>
        <v>0</v>
      </c>
      <c r="G102" s="61">
        <f t="shared" si="5"/>
        <v>0</v>
      </c>
      <c r="H102" s="67"/>
      <c r="I102" s="67"/>
      <c r="J102" s="67"/>
      <c r="K102" s="67"/>
      <c r="L102" s="67"/>
      <c r="M102" s="67"/>
      <c r="N102" s="67"/>
      <c r="O102" s="67"/>
      <c r="P102" s="67"/>
      <c r="Q102" s="67"/>
      <c r="R102" s="67"/>
      <c r="S102" s="67"/>
    </row>
    <row r="103" spans="1:19">
      <c r="A103" s="54" t="s">
        <v>247</v>
      </c>
      <c r="B103" s="67">
        <f>(SUMIFS('Safeguard facility data'!BB$4:BB$312,'Safeguard facility data'!$Q$4:$Q$312,$A103,'Safeguard facility data'!BB$4:BB$312,"&gt;0"))-(SUMIFS('Safeguard facility data'!BI$4:BI$312,'Safeguard facility data'!$Q$4:$Q$312,$A103,'Safeguard facility data'!BI$4:BI$312,"&gt;0"))</f>
        <v>0</v>
      </c>
      <c r="C103" s="67">
        <f>(SUMIFS('Safeguard facility data'!BC$4:BC$312,'Safeguard facility data'!$Q$4:$Q$312,$A103,'Safeguard facility data'!BC$4:BC$312,"&gt;0"))-(SUMIFS('Safeguard facility data'!BJ$4:BJ$312,'Safeguard facility data'!$Q$4:$Q$312,$A103,'Safeguard facility data'!BJ$4:BJ$312,"&gt;0"))</f>
        <v>0</v>
      </c>
      <c r="D103" s="67">
        <f>(SUMIFS('Safeguard facility data'!BD$4:BD$312,'Safeguard facility data'!$Q$4:$Q$312,$A103,'Safeguard facility data'!BD$4:BD$312,"&gt;0"))-(SUMIFS('Safeguard facility data'!BK$4:BK$312,'Safeguard facility data'!$Q$4:$Q$312,$A103,'Safeguard facility data'!BK$4:BK$312,"&gt;0"))</f>
        <v>0</v>
      </c>
      <c r="E103" s="67">
        <f>(SUMIFS('Safeguard facility data'!BE$4:BE$312,'Safeguard facility data'!$Q$4:$Q$312,$A103,'Safeguard facility data'!BE$4:BE$312,"&gt;0"))-(SUMIFS('Safeguard facility data'!BL$4:BL$312,'Safeguard facility data'!$Q$4:$Q$312,$A103,'Safeguard facility data'!BL$4:BL$312,"&gt;0"))</f>
        <v>0</v>
      </c>
      <c r="F103" s="67">
        <f>(SUMIFS('Safeguard facility data'!BF$4:BF$312,'Safeguard facility data'!$Q$4:$Q$312,$A103,'Safeguard facility data'!BF$4:BF$312,"&gt;0"))-(SUMIFS('Safeguard facility data'!BM$4:BM$312,'Safeguard facility data'!$Q$4:$Q$312,$A103,'Safeguard facility data'!BM$4:BM$312,"&gt;0"))</f>
        <v>0</v>
      </c>
      <c r="G103" s="61">
        <f t="shared" si="5"/>
        <v>0</v>
      </c>
      <c r="H103" s="67"/>
      <c r="I103" s="67"/>
      <c r="J103" s="67"/>
      <c r="K103" s="67"/>
      <c r="L103" s="67"/>
      <c r="M103" s="67"/>
      <c r="N103" s="67"/>
      <c r="O103" s="67"/>
      <c r="P103" s="67"/>
      <c r="Q103" s="67"/>
      <c r="R103" s="67"/>
      <c r="S103" s="67"/>
    </row>
    <row r="104" spans="1:19">
      <c r="A104" s="54" t="s">
        <v>229</v>
      </c>
      <c r="B104" s="67">
        <f>(SUMIFS('Safeguard facility data'!BB$4:BB$312,'Safeguard facility data'!$Q$4:$Q$312,$A104,'Safeguard facility data'!BB$4:BB$312,"&gt;0"))-(SUMIFS('Safeguard facility data'!BI$4:BI$312,'Safeguard facility data'!$Q$4:$Q$312,$A104,'Safeguard facility data'!BI$4:BI$312,"&gt;0"))</f>
        <v>0</v>
      </c>
      <c r="C104" s="67">
        <f>(SUMIFS('Safeguard facility data'!BC$4:BC$312,'Safeguard facility data'!$Q$4:$Q$312,$A104,'Safeguard facility data'!BC$4:BC$312,"&gt;0"))-(SUMIFS('Safeguard facility data'!BJ$4:BJ$312,'Safeguard facility data'!$Q$4:$Q$312,$A104,'Safeguard facility data'!BJ$4:BJ$312,"&gt;0"))</f>
        <v>0</v>
      </c>
      <c r="D104" s="67">
        <f>(SUMIFS('Safeguard facility data'!BD$4:BD$312,'Safeguard facility data'!$Q$4:$Q$312,$A104,'Safeguard facility data'!BD$4:BD$312,"&gt;0"))-(SUMIFS('Safeguard facility data'!BK$4:BK$312,'Safeguard facility data'!$Q$4:$Q$312,$A104,'Safeguard facility data'!BK$4:BK$312,"&gt;0"))</f>
        <v>0</v>
      </c>
      <c r="E104" s="67">
        <f>(SUMIFS('Safeguard facility data'!BE$4:BE$312,'Safeguard facility data'!$Q$4:$Q$312,$A104,'Safeguard facility data'!BE$4:BE$312,"&gt;0"))-(SUMIFS('Safeguard facility data'!BL$4:BL$312,'Safeguard facility data'!$Q$4:$Q$312,$A104,'Safeguard facility data'!BL$4:BL$312,"&gt;0"))</f>
        <v>0</v>
      </c>
      <c r="F104" s="67">
        <f>(SUMIFS('Safeguard facility data'!BF$4:BF$312,'Safeguard facility data'!$Q$4:$Q$312,$A104,'Safeguard facility data'!BF$4:BF$312,"&gt;0"))-(SUMIFS('Safeguard facility data'!BM$4:BM$312,'Safeguard facility data'!$Q$4:$Q$312,$A104,'Safeguard facility data'!BM$4:BM$312,"&gt;0"))</f>
        <v>0</v>
      </c>
      <c r="G104" s="61">
        <f t="shared" si="5"/>
        <v>0</v>
      </c>
      <c r="H104" s="67"/>
      <c r="I104" s="67"/>
      <c r="J104" s="67"/>
      <c r="K104" s="67"/>
      <c r="L104" s="67"/>
      <c r="M104" s="67"/>
      <c r="N104" s="67"/>
      <c r="O104" s="67"/>
      <c r="P104" s="67"/>
      <c r="Q104" s="67"/>
      <c r="R104" s="67"/>
      <c r="S104" s="67"/>
    </row>
    <row r="105" spans="1:19">
      <c r="A105" s="54" t="s">
        <v>173</v>
      </c>
      <c r="B105" s="67">
        <f>(SUMIFS('Safeguard facility data'!BB$4:BB$312,'Safeguard facility data'!$Q$4:$Q$312,$A105,'Safeguard facility data'!BB$4:BB$312,"&gt;0"))-(SUMIFS('Safeguard facility data'!BI$4:BI$312,'Safeguard facility data'!$Q$4:$Q$312,$A105,'Safeguard facility data'!BI$4:BI$312,"&gt;0"))</f>
        <v>0</v>
      </c>
      <c r="C105" s="67">
        <f>(SUMIFS('Safeguard facility data'!BC$4:BC$312,'Safeguard facility data'!$Q$4:$Q$312,$A105,'Safeguard facility data'!BC$4:BC$312,"&gt;0"))-(SUMIFS('Safeguard facility data'!BJ$4:BJ$312,'Safeguard facility data'!$Q$4:$Q$312,$A105,'Safeguard facility data'!BJ$4:BJ$312,"&gt;0"))</f>
        <v>0</v>
      </c>
      <c r="D105" s="67">
        <f>(SUMIFS('Safeguard facility data'!BD$4:BD$312,'Safeguard facility data'!$Q$4:$Q$312,$A105,'Safeguard facility data'!BD$4:BD$312,"&gt;0"))-(SUMIFS('Safeguard facility data'!BK$4:BK$312,'Safeguard facility data'!$Q$4:$Q$312,$A105,'Safeguard facility data'!BK$4:BK$312,"&gt;0"))</f>
        <v>0</v>
      </c>
      <c r="E105" s="67">
        <f>(SUMIFS('Safeguard facility data'!BE$4:BE$312,'Safeguard facility data'!$Q$4:$Q$312,$A105,'Safeguard facility data'!BE$4:BE$312,"&gt;0"))-(SUMIFS('Safeguard facility data'!BL$4:BL$312,'Safeguard facility data'!$Q$4:$Q$312,$A105,'Safeguard facility data'!BL$4:BL$312,"&gt;0"))</f>
        <v>0</v>
      </c>
      <c r="F105" s="67">
        <f>(SUMIFS('Safeguard facility data'!BF$4:BF$312,'Safeguard facility data'!$Q$4:$Q$312,$A105,'Safeguard facility data'!BF$4:BF$312,"&gt;0"))-(SUMIFS('Safeguard facility data'!BM$4:BM$312,'Safeguard facility data'!$Q$4:$Q$312,$A105,'Safeguard facility data'!BM$4:BM$312,"&gt;0"))</f>
        <v>0</v>
      </c>
      <c r="G105" s="61">
        <f t="shared" si="5"/>
        <v>0</v>
      </c>
      <c r="H105" s="67"/>
      <c r="I105" s="67"/>
      <c r="J105" s="67"/>
      <c r="K105" s="67"/>
      <c r="L105" s="67"/>
      <c r="M105" s="67"/>
      <c r="N105" s="67"/>
      <c r="O105" s="67"/>
      <c r="P105" s="67"/>
      <c r="Q105" s="67"/>
      <c r="R105" s="67"/>
      <c r="S105" s="67"/>
    </row>
    <row r="106" spans="1:19">
      <c r="A106" s="54" t="s">
        <v>248</v>
      </c>
      <c r="B106" s="67">
        <f>(SUMIFS('Safeguard facility data'!BB$4:BB$312,'Safeguard facility data'!$Q$4:$Q$312,$A106,'Safeguard facility data'!BB$4:BB$312,"&gt;0"))-(SUMIFS('Safeguard facility data'!BI$4:BI$312,'Safeguard facility data'!$Q$4:$Q$312,$A106,'Safeguard facility data'!BI$4:BI$312,"&gt;0"))</f>
        <v>0</v>
      </c>
      <c r="C106" s="67">
        <f>(SUMIFS('Safeguard facility data'!BC$4:BC$312,'Safeguard facility data'!$Q$4:$Q$312,$A106,'Safeguard facility data'!BC$4:BC$312,"&gt;0"))-(SUMIFS('Safeguard facility data'!BJ$4:BJ$312,'Safeguard facility data'!$Q$4:$Q$312,$A106,'Safeguard facility data'!BJ$4:BJ$312,"&gt;0"))</f>
        <v>0</v>
      </c>
      <c r="D106" s="67">
        <f>(SUMIFS('Safeguard facility data'!BD$4:BD$312,'Safeguard facility data'!$Q$4:$Q$312,$A106,'Safeguard facility data'!BD$4:BD$312,"&gt;0"))-(SUMIFS('Safeguard facility data'!BK$4:BK$312,'Safeguard facility data'!$Q$4:$Q$312,$A106,'Safeguard facility data'!BK$4:BK$312,"&gt;0"))</f>
        <v>0</v>
      </c>
      <c r="E106" s="67">
        <f>(SUMIFS('Safeguard facility data'!BE$4:BE$312,'Safeguard facility data'!$Q$4:$Q$312,$A106,'Safeguard facility data'!BE$4:BE$312,"&gt;0"))-(SUMIFS('Safeguard facility data'!BL$4:BL$312,'Safeguard facility data'!$Q$4:$Q$312,$A106,'Safeguard facility data'!BL$4:BL$312,"&gt;0"))</f>
        <v>0</v>
      </c>
      <c r="F106" s="67">
        <f>(SUMIFS('Safeguard facility data'!BF$4:BF$312,'Safeguard facility data'!$Q$4:$Q$312,$A106,'Safeguard facility data'!BF$4:BF$312,"&gt;0"))-(SUMIFS('Safeguard facility data'!BM$4:BM$312,'Safeguard facility data'!$Q$4:$Q$312,$A106,'Safeguard facility data'!BM$4:BM$312,"&gt;0"))</f>
        <v>0</v>
      </c>
      <c r="G106" s="61">
        <f t="shared" si="5"/>
        <v>0</v>
      </c>
      <c r="H106" s="67"/>
      <c r="I106" s="67"/>
      <c r="J106" s="67"/>
      <c r="K106" s="67"/>
      <c r="L106" s="67"/>
      <c r="M106" s="67"/>
      <c r="N106" s="67"/>
      <c r="O106" s="67"/>
      <c r="P106" s="67"/>
      <c r="Q106" s="67"/>
      <c r="R106" s="67"/>
      <c r="S106" s="67"/>
    </row>
    <row r="107" spans="1:19">
      <c r="A107" s="54" t="s">
        <v>174</v>
      </c>
      <c r="B107" s="67">
        <f>(SUMIFS('Safeguard facility data'!BB$4:BB$312,'Safeguard facility data'!$Q$4:$Q$312,$A107,'Safeguard facility data'!BB$4:BB$312,"&gt;0"))-(SUMIFS('Safeguard facility data'!BI$4:BI$312,'Safeguard facility data'!$Q$4:$Q$312,$A107,'Safeguard facility data'!BI$4:BI$312,"&gt;0"))</f>
        <v>0</v>
      </c>
      <c r="C107" s="67">
        <f>(SUMIFS('Safeguard facility data'!BC$4:BC$312,'Safeguard facility data'!$Q$4:$Q$312,$A107,'Safeguard facility data'!BC$4:BC$312,"&gt;0"))-(SUMIFS('Safeguard facility data'!BJ$4:BJ$312,'Safeguard facility data'!$Q$4:$Q$312,$A107,'Safeguard facility data'!BJ$4:BJ$312,"&gt;0"))</f>
        <v>0</v>
      </c>
      <c r="D107" s="67">
        <f>(SUMIFS('Safeguard facility data'!BD$4:BD$312,'Safeguard facility data'!$Q$4:$Q$312,$A107,'Safeguard facility data'!BD$4:BD$312,"&gt;0"))-(SUMIFS('Safeguard facility data'!BK$4:BK$312,'Safeguard facility data'!$Q$4:$Q$312,$A107,'Safeguard facility data'!BK$4:BK$312,"&gt;0"))</f>
        <v>0</v>
      </c>
      <c r="E107" s="67">
        <f>(SUMIFS('Safeguard facility data'!BE$4:BE$312,'Safeguard facility data'!$Q$4:$Q$312,$A107,'Safeguard facility data'!BE$4:BE$312,"&gt;0"))-(SUMIFS('Safeguard facility data'!BL$4:BL$312,'Safeguard facility data'!$Q$4:$Q$312,$A107,'Safeguard facility data'!BL$4:BL$312,"&gt;0"))</f>
        <v>0</v>
      </c>
      <c r="F107" s="67">
        <f>(SUMIFS('Safeguard facility data'!BF$4:BF$312,'Safeguard facility data'!$Q$4:$Q$312,$A107,'Safeguard facility data'!BF$4:BF$312,"&gt;0"))-(SUMIFS('Safeguard facility data'!BM$4:BM$312,'Safeguard facility data'!$Q$4:$Q$312,$A107,'Safeguard facility data'!BM$4:BM$312,"&gt;0"))</f>
        <v>0</v>
      </c>
      <c r="G107" s="61">
        <f t="shared" si="5"/>
        <v>0</v>
      </c>
      <c r="H107" s="67"/>
      <c r="I107" s="67"/>
      <c r="J107" s="67"/>
      <c r="K107" s="67"/>
      <c r="L107" s="67"/>
      <c r="M107" s="67"/>
      <c r="N107" s="67"/>
      <c r="O107" s="67"/>
      <c r="P107" s="67"/>
      <c r="Q107" s="67"/>
      <c r="R107" s="67"/>
      <c r="S107" s="67"/>
    </row>
    <row r="108" spans="1:19">
      <c r="A108" s="54" t="s">
        <v>175</v>
      </c>
      <c r="B108" s="67">
        <f>(SUMIFS('Safeguard facility data'!BB$4:BB$312,'Safeguard facility data'!$Q$4:$Q$312,$A108,'Safeguard facility data'!BB$4:BB$312,"&gt;0"))-(SUMIFS('Safeguard facility data'!BI$4:BI$312,'Safeguard facility data'!$Q$4:$Q$312,$A108,'Safeguard facility data'!BI$4:BI$312,"&gt;0"))</f>
        <v>0</v>
      </c>
      <c r="C108" s="67">
        <f>(SUMIFS('Safeguard facility data'!BC$4:BC$312,'Safeguard facility data'!$Q$4:$Q$312,$A108,'Safeguard facility data'!BC$4:BC$312,"&gt;0"))-(SUMIFS('Safeguard facility data'!BJ$4:BJ$312,'Safeguard facility data'!$Q$4:$Q$312,$A108,'Safeguard facility data'!BJ$4:BJ$312,"&gt;0"))</f>
        <v>0</v>
      </c>
      <c r="D108" s="67">
        <f>(SUMIFS('Safeguard facility data'!BD$4:BD$312,'Safeguard facility data'!$Q$4:$Q$312,$A108,'Safeguard facility data'!BD$4:BD$312,"&gt;0"))-(SUMIFS('Safeguard facility data'!BK$4:BK$312,'Safeguard facility data'!$Q$4:$Q$312,$A108,'Safeguard facility data'!BK$4:BK$312,"&gt;0"))</f>
        <v>0</v>
      </c>
      <c r="E108" s="67">
        <f>(SUMIFS('Safeguard facility data'!BE$4:BE$312,'Safeguard facility data'!$Q$4:$Q$312,$A108,'Safeguard facility data'!BE$4:BE$312,"&gt;0"))-(SUMIFS('Safeguard facility data'!BL$4:BL$312,'Safeguard facility data'!$Q$4:$Q$312,$A108,'Safeguard facility data'!BL$4:BL$312,"&gt;0"))</f>
        <v>0</v>
      </c>
      <c r="F108" s="67">
        <f>(SUMIFS('Safeguard facility data'!BF$4:BF$312,'Safeguard facility data'!$Q$4:$Q$312,$A108,'Safeguard facility data'!BF$4:BF$312,"&gt;0"))-(SUMIFS('Safeguard facility data'!BM$4:BM$312,'Safeguard facility data'!$Q$4:$Q$312,$A108,'Safeguard facility data'!BM$4:BM$312,"&gt;0"))</f>
        <v>0</v>
      </c>
      <c r="G108" s="61">
        <f t="shared" si="5"/>
        <v>0</v>
      </c>
      <c r="H108" s="67"/>
      <c r="I108" s="67"/>
      <c r="J108" s="67"/>
      <c r="K108" s="67"/>
      <c r="L108" s="67"/>
      <c r="M108" s="67"/>
      <c r="N108" s="67"/>
      <c r="O108" s="67"/>
      <c r="P108" s="67"/>
      <c r="Q108" s="67"/>
      <c r="R108" s="67"/>
      <c r="S108" s="67"/>
    </row>
    <row r="109" spans="1:19">
      <c r="A109" s="54" t="s">
        <v>177</v>
      </c>
      <c r="B109" s="67">
        <f>(SUMIFS('Safeguard facility data'!BB$4:BB$312,'Safeguard facility data'!$Q$4:$Q$312,$A109,'Safeguard facility data'!BB$4:BB$312,"&gt;0"))-(SUMIFS('Safeguard facility data'!BI$4:BI$312,'Safeguard facility data'!$Q$4:$Q$312,$A109,'Safeguard facility data'!BI$4:BI$312,"&gt;0"))</f>
        <v>0</v>
      </c>
      <c r="C109" s="67">
        <f>(SUMIFS('Safeguard facility data'!BC$4:BC$312,'Safeguard facility data'!$Q$4:$Q$312,$A109,'Safeguard facility data'!BC$4:BC$312,"&gt;0"))-(SUMIFS('Safeguard facility data'!BJ$4:BJ$312,'Safeguard facility data'!$Q$4:$Q$312,$A109,'Safeguard facility data'!BJ$4:BJ$312,"&gt;0"))</f>
        <v>0</v>
      </c>
      <c r="D109" s="67">
        <f>(SUMIFS('Safeguard facility data'!BD$4:BD$312,'Safeguard facility data'!$Q$4:$Q$312,$A109,'Safeguard facility data'!BD$4:BD$312,"&gt;0"))-(SUMIFS('Safeguard facility data'!BK$4:BK$312,'Safeguard facility data'!$Q$4:$Q$312,$A109,'Safeguard facility data'!BK$4:BK$312,"&gt;0"))</f>
        <v>0</v>
      </c>
      <c r="E109" s="67">
        <f>(SUMIFS('Safeguard facility data'!BE$4:BE$312,'Safeguard facility data'!$Q$4:$Q$312,$A109,'Safeguard facility data'!BE$4:BE$312,"&gt;0"))-(SUMIFS('Safeguard facility data'!BL$4:BL$312,'Safeguard facility data'!$Q$4:$Q$312,$A109,'Safeguard facility data'!BL$4:BL$312,"&gt;0"))</f>
        <v>0</v>
      </c>
      <c r="F109" s="67">
        <f>(SUMIFS('Safeguard facility data'!BF$4:BF$312,'Safeguard facility data'!$Q$4:$Q$312,$A109,'Safeguard facility data'!BF$4:BF$312,"&gt;0"))-(SUMIFS('Safeguard facility data'!BM$4:BM$312,'Safeguard facility data'!$Q$4:$Q$312,$A109,'Safeguard facility data'!BM$4:BM$312,"&gt;0"))</f>
        <v>0</v>
      </c>
      <c r="G109" s="61">
        <f t="shared" si="5"/>
        <v>0</v>
      </c>
      <c r="H109" s="67"/>
      <c r="I109" s="67"/>
      <c r="J109" s="67"/>
      <c r="K109" s="67"/>
      <c r="L109" s="67"/>
      <c r="M109" s="67"/>
      <c r="N109" s="67"/>
      <c r="O109" s="67"/>
      <c r="P109" s="67"/>
      <c r="Q109" s="67"/>
      <c r="R109" s="67"/>
      <c r="S109" s="67"/>
    </row>
    <row r="110" spans="1:19">
      <c r="A110" s="54" t="s">
        <v>178</v>
      </c>
      <c r="B110" s="67">
        <f>(SUMIFS('Safeguard facility data'!BB$4:BB$312,'Safeguard facility data'!$Q$4:$Q$312,$A110,'Safeguard facility data'!BB$4:BB$312,"&gt;0"))-(SUMIFS('Safeguard facility data'!BI$4:BI$312,'Safeguard facility data'!$Q$4:$Q$312,$A110,'Safeguard facility data'!BI$4:BI$312,"&gt;0"))</f>
        <v>0</v>
      </c>
      <c r="C110" s="67">
        <f>(SUMIFS('Safeguard facility data'!BC$4:BC$312,'Safeguard facility data'!$Q$4:$Q$312,$A110,'Safeguard facility data'!BC$4:BC$312,"&gt;0"))-(SUMIFS('Safeguard facility data'!BJ$4:BJ$312,'Safeguard facility data'!$Q$4:$Q$312,$A110,'Safeguard facility data'!BJ$4:BJ$312,"&gt;0"))</f>
        <v>0</v>
      </c>
      <c r="D110" s="67">
        <f>(SUMIFS('Safeguard facility data'!BD$4:BD$312,'Safeguard facility data'!$Q$4:$Q$312,$A110,'Safeguard facility data'!BD$4:BD$312,"&gt;0"))-(SUMIFS('Safeguard facility data'!BK$4:BK$312,'Safeguard facility data'!$Q$4:$Q$312,$A110,'Safeguard facility data'!BK$4:BK$312,"&gt;0"))</f>
        <v>0</v>
      </c>
      <c r="E110" s="67">
        <f>(SUMIFS('Safeguard facility data'!BE$4:BE$312,'Safeguard facility data'!$Q$4:$Q$312,$A110,'Safeguard facility data'!BE$4:BE$312,"&gt;0"))-(SUMIFS('Safeguard facility data'!BL$4:BL$312,'Safeguard facility data'!$Q$4:$Q$312,$A110,'Safeguard facility data'!BL$4:BL$312,"&gt;0"))</f>
        <v>0</v>
      </c>
      <c r="F110" s="67">
        <f>(SUMIFS('Safeguard facility data'!BF$4:BF$312,'Safeguard facility data'!$Q$4:$Q$312,$A110,'Safeguard facility data'!BF$4:BF$312,"&gt;0"))-(SUMIFS('Safeguard facility data'!BM$4:BM$312,'Safeguard facility data'!$Q$4:$Q$312,$A110,'Safeguard facility data'!BM$4:BM$312,"&gt;0"))</f>
        <v>0</v>
      </c>
      <c r="G110" s="61">
        <f t="shared" si="5"/>
        <v>0</v>
      </c>
      <c r="H110" s="67"/>
      <c r="I110" s="67"/>
      <c r="J110" s="67"/>
      <c r="K110" s="67"/>
      <c r="L110" s="67"/>
      <c r="M110" s="67"/>
      <c r="N110" s="67"/>
      <c r="O110" s="67"/>
      <c r="P110" s="67"/>
      <c r="Q110" s="67"/>
      <c r="R110" s="67"/>
      <c r="S110" s="67"/>
    </row>
    <row r="111" spans="1:19">
      <c r="A111" s="54" t="s">
        <v>179</v>
      </c>
      <c r="B111" s="67">
        <f>(SUMIFS('Safeguard facility data'!BB$4:BB$312,'Safeguard facility data'!$Q$4:$Q$312,$A111,'Safeguard facility data'!BB$4:BB$312,"&gt;0"))-(SUMIFS('Safeguard facility data'!BI$4:BI$312,'Safeguard facility data'!$Q$4:$Q$312,$A111,'Safeguard facility data'!BI$4:BI$312,"&gt;0"))</f>
        <v>0</v>
      </c>
      <c r="C111" s="67">
        <f>(SUMIFS('Safeguard facility data'!BC$4:BC$312,'Safeguard facility data'!$Q$4:$Q$312,$A111,'Safeguard facility data'!BC$4:BC$312,"&gt;0"))-(SUMIFS('Safeguard facility data'!BJ$4:BJ$312,'Safeguard facility data'!$Q$4:$Q$312,$A111,'Safeguard facility data'!BJ$4:BJ$312,"&gt;0"))</f>
        <v>0</v>
      </c>
      <c r="D111" s="67">
        <f>(SUMIFS('Safeguard facility data'!BD$4:BD$312,'Safeguard facility data'!$Q$4:$Q$312,$A111,'Safeguard facility data'!BD$4:BD$312,"&gt;0"))-(SUMIFS('Safeguard facility data'!BK$4:BK$312,'Safeguard facility data'!$Q$4:$Q$312,$A111,'Safeguard facility data'!BK$4:BK$312,"&gt;0"))</f>
        <v>0</v>
      </c>
      <c r="E111" s="67">
        <f>(SUMIFS('Safeguard facility data'!BE$4:BE$312,'Safeguard facility data'!$Q$4:$Q$312,$A111,'Safeguard facility data'!BE$4:BE$312,"&gt;0"))-(SUMIFS('Safeguard facility data'!BL$4:BL$312,'Safeguard facility data'!$Q$4:$Q$312,$A111,'Safeguard facility data'!BL$4:BL$312,"&gt;0"))</f>
        <v>0</v>
      </c>
      <c r="F111" s="67">
        <f>(SUMIFS('Safeguard facility data'!BF$4:BF$312,'Safeguard facility data'!$Q$4:$Q$312,$A111,'Safeguard facility data'!BF$4:BF$312,"&gt;0"))-(SUMIFS('Safeguard facility data'!BM$4:BM$312,'Safeguard facility data'!$Q$4:$Q$312,$A111,'Safeguard facility data'!BM$4:BM$312,"&gt;0"))</f>
        <v>0</v>
      </c>
      <c r="G111" s="61">
        <f t="shared" si="5"/>
        <v>0</v>
      </c>
      <c r="H111" s="67"/>
      <c r="I111" s="67"/>
      <c r="J111" s="67"/>
      <c r="K111" s="67"/>
      <c r="L111" s="67"/>
      <c r="M111" s="67"/>
      <c r="N111" s="67"/>
      <c r="O111" s="67"/>
      <c r="P111" s="67"/>
      <c r="Q111" s="67"/>
      <c r="R111" s="67"/>
      <c r="S111" s="67"/>
    </row>
    <row r="112" spans="1:19">
      <c r="A112" s="54" t="s">
        <v>180</v>
      </c>
      <c r="B112" s="67">
        <f>(SUMIFS('Safeguard facility data'!BB$4:BB$312,'Safeguard facility data'!$Q$4:$Q$312,$A112,'Safeguard facility data'!BB$4:BB$312,"&gt;0"))-(SUMIFS('Safeguard facility data'!BI$4:BI$312,'Safeguard facility data'!$Q$4:$Q$312,$A112,'Safeguard facility data'!BI$4:BI$312,"&gt;0"))</f>
        <v>0</v>
      </c>
      <c r="C112" s="67">
        <f>(SUMIFS('Safeguard facility data'!BC$4:BC$312,'Safeguard facility data'!$Q$4:$Q$312,$A112,'Safeguard facility data'!BC$4:BC$312,"&gt;0"))-(SUMIFS('Safeguard facility data'!BJ$4:BJ$312,'Safeguard facility data'!$Q$4:$Q$312,$A112,'Safeguard facility data'!BJ$4:BJ$312,"&gt;0"))</f>
        <v>0</v>
      </c>
      <c r="D112" s="67">
        <f>(SUMIFS('Safeguard facility data'!BD$4:BD$312,'Safeguard facility data'!$Q$4:$Q$312,$A112,'Safeguard facility data'!BD$4:BD$312,"&gt;0"))-(SUMIFS('Safeguard facility data'!BK$4:BK$312,'Safeguard facility data'!$Q$4:$Q$312,$A112,'Safeguard facility data'!BK$4:BK$312,"&gt;0"))</f>
        <v>0</v>
      </c>
      <c r="E112" s="67">
        <f>(SUMIFS('Safeguard facility data'!BE$4:BE$312,'Safeguard facility data'!$Q$4:$Q$312,$A112,'Safeguard facility data'!BE$4:BE$312,"&gt;0"))-(SUMIFS('Safeguard facility data'!BL$4:BL$312,'Safeguard facility data'!$Q$4:$Q$312,$A112,'Safeguard facility data'!BL$4:BL$312,"&gt;0"))</f>
        <v>0</v>
      </c>
      <c r="F112" s="67">
        <f>(SUMIFS('Safeguard facility data'!BF$4:BF$312,'Safeguard facility data'!$Q$4:$Q$312,$A112,'Safeguard facility data'!BF$4:BF$312,"&gt;0"))-(SUMIFS('Safeguard facility data'!BM$4:BM$312,'Safeguard facility data'!$Q$4:$Q$312,$A112,'Safeguard facility data'!BM$4:BM$312,"&gt;0"))</f>
        <v>0</v>
      </c>
      <c r="G112" s="61">
        <f t="shared" si="5"/>
        <v>0</v>
      </c>
      <c r="H112" s="67"/>
      <c r="I112" s="67"/>
      <c r="J112" s="67"/>
      <c r="K112" s="67"/>
      <c r="L112" s="67"/>
      <c r="M112" s="67"/>
      <c r="N112" s="67"/>
      <c r="O112" s="67"/>
      <c r="P112" s="67"/>
      <c r="Q112" s="67"/>
      <c r="R112" s="67"/>
      <c r="S112" s="67"/>
    </row>
    <row r="113" spans="1:19">
      <c r="A113" s="54" t="s">
        <v>181</v>
      </c>
      <c r="B113" s="67">
        <f>(SUMIFS('Safeguard facility data'!BB$4:BB$312,'Safeguard facility data'!$Q$4:$Q$312,$A113,'Safeguard facility data'!BB$4:BB$312,"&gt;0"))-(SUMIFS('Safeguard facility data'!BI$4:BI$312,'Safeguard facility data'!$Q$4:$Q$312,$A113,'Safeguard facility data'!BI$4:BI$312,"&gt;0"))</f>
        <v>0</v>
      </c>
      <c r="C113" s="67">
        <f>(SUMIFS('Safeguard facility data'!BC$4:BC$312,'Safeguard facility data'!$Q$4:$Q$312,$A113,'Safeguard facility data'!BC$4:BC$312,"&gt;0"))-(SUMIFS('Safeguard facility data'!BJ$4:BJ$312,'Safeguard facility data'!$Q$4:$Q$312,$A113,'Safeguard facility data'!BJ$4:BJ$312,"&gt;0"))</f>
        <v>0</v>
      </c>
      <c r="D113" s="67">
        <f>(SUMIFS('Safeguard facility data'!BD$4:BD$312,'Safeguard facility data'!$Q$4:$Q$312,$A113,'Safeguard facility data'!BD$4:BD$312,"&gt;0"))-(SUMIFS('Safeguard facility data'!BK$4:BK$312,'Safeguard facility data'!$Q$4:$Q$312,$A113,'Safeguard facility data'!BK$4:BK$312,"&gt;0"))</f>
        <v>0</v>
      </c>
      <c r="E113" s="67">
        <f>(SUMIFS('Safeguard facility data'!BE$4:BE$312,'Safeguard facility data'!$Q$4:$Q$312,$A113,'Safeguard facility data'!BE$4:BE$312,"&gt;0"))-(SUMIFS('Safeguard facility data'!BL$4:BL$312,'Safeguard facility data'!$Q$4:$Q$312,$A113,'Safeguard facility data'!BL$4:BL$312,"&gt;0"))</f>
        <v>0</v>
      </c>
      <c r="F113" s="67">
        <f>(SUMIFS('Safeguard facility data'!BF$4:BF$312,'Safeguard facility data'!$Q$4:$Q$312,$A113,'Safeguard facility data'!BF$4:BF$312,"&gt;0"))-(SUMIFS('Safeguard facility data'!BM$4:BM$312,'Safeguard facility data'!$Q$4:$Q$312,$A113,'Safeguard facility data'!BM$4:BM$312,"&gt;0"))</f>
        <v>0</v>
      </c>
      <c r="G113" s="61">
        <f t="shared" si="5"/>
        <v>0</v>
      </c>
      <c r="H113" s="67"/>
      <c r="I113" s="67"/>
      <c r="J113" s="67"/>
      <c r="K113" s="67"/>
      <c r="L113" s="67"/>
      <c r="M113" s="67"/>
      <c r="N113" s="67"/>
      <c r="O113" s="67"/>
      <c r="P113" s="67"/>
      <c r="Q113" s="67"/>
      <c r="R113" s="67"/>
      <c r="S113" s="67"/>
    </row>
    <row r="114" spans="1:19">
      <c r="A114" s="54" t="s">
        <v>182</v>
      </c>
      <c r="B114" s="67">
        <f>(SUMIFS('Safeguard facility data'!BB$4:BB$312,'Safeguard facility data'!$Q$4:$Q$312,$A114,'Safeguard facility data'!BB$4:BB$312,"&gt;0"))-(SUMIFS('Safeguard facility data'!BI$4:BI$312,'Safeguard facility data'!$Q$4:$Q$312,$A114,'Safeguard facility data'!BI$4:BI$312,"&gt;0"))</f>
        <v>0</v>
      </c>
      <c r="C114" s="67">
        <f>(SUMIFS('Safeguard facility data'!BC$4:BC$312,'Safeguard facility data'!$Q$4:$Q$312,$A114,'Safeguard facility data'!BC$4:BC$312,"&gt;0"))-(SUMIFS('Safeguard facility data'!BJ$4:BJ$312,'Safeguard facility data'!$Q$4:$Q$312,$A114,'Safeguard facility data'!BJ$4:BJ$312,"&gt;0"))</f>
        <v>0</v>
      </c>
      <c r="D114" s="67">
        <f>(SUMIFS('Safeguard facility data'!BD$4:BD$312,'Safeguard facility data'!$Q$4:$Q$312,$A114,'Safeguard facility data'!BD$4:BD$312,"&gt;0"))-(SUMIFS('Safeguard facility data'!BK$4:BK$312,'Safeguard facility data'!$Q$4:$Q$312,$A114,'Safeguard facility data'!BK$4:BK$312,"&gt;0"))</f>
        <v>0</v>
      </c>
      <c r="E114" s="67">
        <f>(SUMIFS('Safeguard facility data'!BE$4:BE$312,'Safeguard facility data'!$Q$4:$Q$312,$A114,'Safeguard facility data'!BE$4:BE$312,"&gt;0"))-(SUMIFS('Safeguard facility data'!BL$4:BL$312,'Safeguard facility data'!$Q$4:$Q$312,$A114,'Safeguard facility data'!BL$4:BL$312,"&gt;0"))</f>
        <v>0</v>
      </c>
      <c r="F114" s="67">
        <f>(SUMIFS('Safeguard facility data'!BF$4:BF$312,'Safeguard facility data'!$Q$4:$Q$312,$A114,'Safeguard facility data'!BF$4:BF$312,"&gt;0"))-(SUMIFS('Safeguard facility data'!BM$4:BM$312,'Safeguard facility data'!$Q$4:$Q$312,$A114,'Safeguard facility data'!BM$4:BM$312,"&gt;0"))</f>
        <v>0</v>
      </c>
      <c r="G114" s="61">
        <f t="shared" si="5"/>
        <v>0</v>
      </c>
      <c r="H114" s="67"/>
      <c r="I114" s="67"/>
      <c r="J114" s="67"/>
      <c r="K114" s="67"/>
      <c r="L114" s="67"/>
      <c r="M114" s="67"/>
      <c r="N114" s="67"/>
      <c r="O114" s="67"/>
      <c r="P114" s="67"/>
      <c r="Q114" s="67"/>
      <c r="R114" s="67"/>
      <c r="S114" s="67"/>
    </row>
    <row r="115" spans="1:19">
      <c r="A115" s="54" t="s">
        <v>265</v>
      </c>
      <c r="B115" s="67">
        <f>(SUMIFS('Safeguard facility data'!BB$4:BB$312,'Safeguard facility data'!$Q$4:$Q$312,$A115,'Safeguard facility data'!BB$4:BB$312,"&gt;0"))-(SUMIFS('Safeguard facility data'!BI$4:BI$312,'Safeguard facility data'!$Q$4:$Q$312,$A115,'Safeguard facility data'!BI$4:BI$312,"&gt;0"))</f>
        <v>0</v>
      </c>
      <c r="C115" s="67">
        <f>(SUMIFS('Safeguard facility data'!BC$4:BC$312,'Safeguard facility data'!$Q$4:$Q$312,$A115,'Safeguard facility data'!BC$4:BC$312,"&gt;0"))-(SUMIFS('Safeguard facility data'!BJ$4:BJ$312,'Safeguard facility data'!$Q$4:$Q$312,$A115,'Safeguard facility data'!BJ$4:BJ$312,"&gt;0"))</f>
        <v>0</v>
      </c>
      <c r="D115" s="67">
        <f>(SUMIFS('Safeguard facility data'!BD$4:BD$312,'Safeguard facility data'!$Q$4:$Q$312,$A115,'Safeguard facility data'!BD$4:BD$312,"&gt;0"))-(SUMIFS('Safeguard facility data'!BK$4:BK$312,'Safeguard facility data'!$Q$4:$Q$312,$A115,'Safeguard facility data'!BK$4:BK$312,"&gt;0"))</f>
        <v>0</v>
      </c>
      <c r="E115" s="67">
        <f>(SUMIFS('Safeguard facility data'!BE$4:BE$312,'Safeguard facility data'!$Q$4:$Q$312,$A115,'Safeguard facility data'!BE$4:BE$312,"&gt;0"))-(SUMIFS('Safeguard facility data'!BL$4:BL$312,'Safeguard facility data'!$Q$4:$Q$312,$A115,'Safeguard facility data'!BL$4:BL$312,"&gt;0"))</f>
        <v>0</v>
      </c>
      <c r="F115" s="67">
        <f>(SUMIFS('Safeguard facility data'!BF$4:BF$312,'Safeguard facility data'!$Q$4:$Q$312,$A115,'Safeguard facility data'!BF$4:BF$312,"&gt;0"))-(SUMIFS('Safeguard facility data'!BM$4:BM$312,'Safeguard facility data'!$Q$4:$Q$312,$A115,'Safeguard facility data'!BM$4:BM$312,"&gt;0"))</f>
        <v>0</v>
      </c>
      <c r="G115" s="61">
        <f t="shared" si="5"/>
        <v>0</v>
      </c>
      <c r="H115" s="67"/>
      <c r="I115" s="67"/>
      <c r="J115" s="67"/>
      <c r="K115" s="67"/>
      <c r="L115" s="67"/>
      <c r="M115" s="67"/>
      <c r="N115" s="67"/>
      <c r="O115" s="67"/>
      <c r="P115" s="67"/>
      <c r="Q115" s="67"/>
      <c r="R115" s="67"/>
      <c r="S115" s="67"/>
    </row>
    <row r="116" spans="1:19">
      <c r="A116" s="54" t="s">
        <v>183</v>
      </c>
      <c r="B116" s="67">
        <f>(SUMIFS('Safeguard facility data'!BB$4:BB$312,'Safeguard facility data'!$Q$4:$Q$312,$A116,'Safeguard facility data'!BB$4:BB$312,"&gt;0"))-(SUMIFS('Safeguard facility data'!BI$4:BI$312,'Safeguard facility data'!$Q$4:$Q$312,$A116,'Safeguard facility data'!BI$4:BI$312,"&gt;0"))</f>
        <v>0</v>
      </c>
      <c r="C116" s="67">
        <f>(SUMIFS('Safeguard facility data'!BC$4:BC$312,'Safeguard facility data'!$Q$4:$Q$312,$A116,'Safeguard facility data'!BC$4:BC$312,"&gt;0"))-(SUMIFS('Safeguard facility data'!BJ$4:BJ$312,'Safeguard facility data'!$Q$4:$Q$312,$A116,'Safeguard facility data'!BJ$4:BJ$312,"&gt;0"))</f>
        <v>0</v>
      </c>
      <c r="D116" s="67">
        <f>(SUMIFS('Safeguard facility data'!BD$4:BD$312,'Safeguard facility data'!$Q$4:$Q$312,$A116,'Safeguard facility data'!BD$4:BD$312,"&gt;0"))-(SUMIFS('Safeguard facility data'!BK$4:BK$312,'Safeguard facility data'!$Q$4:$Q$312,$A116,'Safeguard facility data'!BK$4:BK$312,"&gt;0"))</f>
        <v>0</v>
      </c>
      <c r="E116" s="67">
        <f>(SUMIFS('Safeguard facility data'!BE$4:BE$312,'Safeguard facility data'!$Q$4:$Q$312,$A116,'Safeguard facility data'!BE$4:BE$312,"&gt;0"))-(SUMIFS('Safeguard facility data'!BL$4:BL$312,'Safeguard facility data'!$Q$4:$Q$312,$A116,'Safeguard facility data'!BL$4:BL$312,"&gt;0"))</f>
        <v>0</v>
      </c>
      <c r="F116" s="67">
        <f>(SUMIFS('Safeguard facility data'!BF$4:BF$312,'Safeguard facility data'!$Q$4:$Q$312,$A116,'Safeguard facility data'!BF$4:BF$312,"&gt;0"))-(SUMIFS('Safeguard facility data'!BM$4:BM$312,'Safeguard facility data'!$Q$4:$Q$312,$A116,'Safeguard facility data'!BM$4:BM$312,"&gt;0"))</f>
        <v>0</v>
      </c>
      <c r="G116" s="61">
        <f t="shared" si="5"/>
        <v>0</v>
      </c>
      <c r="H116" s="67"/>
      <c r="I116" s="67"/>
      <c r="J116" s="67"/>
      <c r="K116" s="67"/>
      <c r="L116" s="67"/>
      <c r="M116" s="67"/>
      <c r="N116" s="67"/>
      <c r="O116" s="67"/>
      <c r="P116" s="67"/>
      <c r="Q116" s="67"/>
      <c r="R116" s="67"/>
      <c r="S116" s="67"/>
    </row>
    <row r="117" spans="1:19">
      <c r="A117" s="54" t="s">
        <v>185</v>
      </c>
      <c r="B117" s="67">
        <f>(SUMIFS('Safeguard facility data'!BB$4:BB$312,'Safeguard facility data'!$Q$4:$Q$312,$A117,'Safeguard facility data'!BB$4:BB$312,"&gt;0"))-(SUMIFS('Safeguard facility data'!BI$4:BI$312,'Safeguard facility data'!$Q$4:$Q$312,$A117,'Safeguard facility data'!BI$4:BI$312,"&gt;0"))</f>
        <v>0</v>
      </c>
      <c r="C117" s="67">
        <f>(SUMIFS('Safeguard facility data'!BC$4:BC$312,'Safeguard facility data'!$Q$4:$Q$312,$A117,'Safeguard facility data'!BC$4:BC$312,"&gt;0"))-(SUMIFS('Safeguard facility data'!BJ$4:BJ$312,'Safeguard facility data'!$Q$4:$Q$312,$A117,'Safeguard facility data'!BJ$4:BJ$312,"&gt;0"))</f>
        <v>0</v>
      </c>
      <c r="D117" s="67">
        <f>(SUMIFS('Safeguard facility data'!BD$4:BD$312,'Safeguard facility data'!$Q$4:$Q$312,$A117,'Safeguard facility data'!BD$4:BD$312,"&gt;0"))-(SUMIFS('Safeguard facility data'!BK$4:BK$312,'Safeguard facility data'!$Q$4:$Q$312,$A117,'Safeguard facility data'!BK$4:BK$312,"&gt;0"))</f>
        <v>0</v>
      </c>
      <c r="E117" s="67">
        <f>(SUMIFS('Safeguard facility data'!BE$4:BE$312,'Safeguard facility data'!$Q$4:$Q$312,$A117,'Safeguard facility data'!BE$4:BE$312,"&gt;0"))-(SUMIFS('Safeguard facility data'!BL$4:BL$312,'Safeguard facility data'!$Q$4:$Q$312,$A117,'Safeguard facility data'!BL$4:BL$312,"&gt;0"))</f>
        <v>0</v>
      </c>
      <c r="F117" s="67">
        <f>(SUMIFS('Safeguard facility data'!BF$4:BF$312,'Safeguard facility data'!$Q$4:$Q$312,$A117,'Safeguard facility data'!BF$4:BF$312,"&gt;0"))-(SUMIFS('Safeguard facility data'!BM$4:BM$312,'Safeguard facility data'!$Q$4:$Q$312,$A117,'Safeguard facility data'!BM$4:BM$312,"&gt;0"))</f>
        <v>0</v>
      </c>
      <c r="G117" s="61">
        <f t="shared" si="5"/>
        <v>0</v>
      </c>
      <c r="H117" s="67"/>
      <c r="I117" s="67"/>
      <c r="J117" s="67"/>
      <c r="K117" s="67"/>
      <c r="L117" s="67"/>
      <c r="M117" s="67"/>
      <c r="N117" s="67"/>
      <c r="O117" s="67"/>
      <c r="P117" s="67"/>
      <c r="Q117" s="67"/>
      <c r="R117" s="67"/>
      <c r="S117" s="67"/>
    </row>
    <row r="118" spans="1:19">
      <c r="A118" s="54" t="s">
        <v>186</v>
      </c>
      <c r="B118" s="67">
        <f>(SUMIFS('Safeguard facility data'!BB$4:BB$312,'Safeguard facility data'!$Q$4:$Q$312,$A118,'Safeguard facility data'!BB$4:BB$312,"&gt;0"))-(SUMIFS('Safeguard facility data'!BI$4:BI$312,'Safeguard facility data'!$Q$4:$Q$312,$A118,'Safeguard facility data'!BI$4:BI$312,"&gt;0"))</f>
        <v>0</v>
      </c>
      <c r="C118" s="67">
        <f>(SUMIFS('Safeguard facility data'!BC$4:BC$312,'Safeguard facility data'!$Q$4:$Q$312,$A118,'Safeguard facility data'!BC$4:BC$312,"&gt;0"))-(SUMIFS('Safeguard facility data'!BJ$4:BJ$312,'Safeguard facility data'!$Q$4:$Q$312,$A118,'Safeguard facility data'!BJ$4:BJ$312,"&gt;0"))</f>
        <v>0</v>
      </c>
      <c r="D118" s="67">
        <f>(SUMIFS('Safeguard facility data'!BD$4:BD$312,'Safeguard facility data'!$Q$4:$Q$312,$A118,'Safeguard facility data'!BD$4:BD$312,"&gt;0"))-(SUMIFS('Safeguard facility data'!BK$4:BK$312,'Safeguard facility data'!$Q$4:$Q$312,$A118,'Safeguard facility data'!BK$4:BK$312,"&gt;0"))</f>
        <v>0</v>
      </c>
      <c r="E118" s="67">
        <f>(SUMIFS('Safeguard facility data'!BE$4:BE$312,'Safeguard facility data'!$Q$4:$Q$312,$A118,'Safeguard facility data'!BE$4:BE$312,"&gt;0"))-(SUMIFS('Safeguard facility data'!BL$4:BL$312,'Safeguard facility data'!$Q$4:$Q$312,$A118,'Safeguard facility data'!BL$4:BL$312,"&gt;0"))</f>
        <v>0</v>
      </c>
      <c r="F118" s="67">
        <f>(SUMIFS('Safeguard facility data'!BF$4:BF$312,'Safeguard facility data'!$Q$4:$Q$312,$A118,'Safeguard facility data'!BF$4:BF$312,"&gt;0"))-(SUMIFS('Safeguard facility data'!BM$4:BM$312,'Safeguard facility data'!$Q$4:$Q$312,$A118,'Safeguard facility data'!BM$4:BM$312,"&gt;0"))</f>
        <v>0</v>
      </c>
      <c r="G118" s="61">
        <f t="shared" si="5"/>
        <v>0</v>
      </c>
      <c r="H118" s="67"/>
      <c r="I118" s="67"/>
      <c r="J118" s="67"/>
      <c r="K118" s="67"/>
      <c r="L118" s="67"/>
      <c r="M118" s="67"/>
      <c r="N118" s="67"/>
      <c r="O118" s="67"/>
      <c r="P118" s="67"/>
      <c r="Q118" s="67"/>
      <c r="R118" s="67"/>
      <c r="S118" s="67"/>
    </row>
    <row r="119" spans="1:19">
      <c r="A119" s="54" t="s">
        <v>270</v>
      </c>
      <c r="B119" s="67">
        <f>(SUMIFS('Safeguard facility data'!BB$4:BB$312,'Safeguard facility data'!$Q$4:$Q$312,$A119,'Safeguard facility data'!BB$4:BB$312,"&gt;0"))-(SUMIFS('Safeguard facility data'!BI$4:BI$312,'Safeguard facility data'!$Q$4:$Q$312,$A119,'Safeguard facility data'!BI$4:BI$312,"&gt;0"))</f>
        <v>0</v>
      </c>
      <c r="C119" s="67">
        <f>(SUMIFS('Safeguard facility data'!BC$4:BC$312,'Safeguard facility data'!$Q$4:$Q$312,$A119,'Safeguard facility data'!BC$4:BC$312,"&gt;0"))-(SUMIFS('Safeguard facility data'!BJ$4:BJ$312,'Safeguard facility data'!$Q$4:$Q$312,$A119,'Safeguard facility data'!BJ$4:BJ$312,"&gt;0"))</f>
        <v>0</v>
      </c>
      <c r="D119" s="67">
        <f>(SUMIFS('Safeguard facility data'!BD$4:BD$312,'Safeguard facility data'!$Q$4:$Q$312,$A119,'Safeguard facility data'!BD$4:BD$312,"&gt;0"))-(SUMIFS('Safeguard facility data'!BK$4:BK$312,'Safeguard facility data'!$Q$4:$Q$312,$A119,'Safeguard facility data'!BK$4:BK$312,"&gt;0"))</f>
        <v>0</v>
      </c>
      <c r="E119" s="67">
        <f>(SUMIFS('Safeguard facility data'!BE$4:BE$312,'Safeguard facility data'!$Q$4:$Q$312,$A119,'Safeguard facility data'!BE$4:BE$312,"&gt;0"))-(SUMIFS('Safeguard facility data'!BL$4:BL$312,'Safeguard facility data'!$Q$4:$Q$312,$A119,'Safeguard facility data'!BL$4:BL$312,"&gt;0"))</f>
        <v>0</v>
      </c>
      <c r="F119" s="67">
        <f>(SUMIFS('Safeguard facility data'!BF$4:BF$312,'Safeguard facility data'!$Q$4:$Q$312,$A119,'Safeguard facility data'!BF$4:BF$312,"&gt;0"))-(SUMIFS('Safeguard facility data'!BM$4:BM$312,'Safeguard facility data'!$Q$4:$Q$312,$A119,'Safeguard facility data'!BM$4:BM$312,"&gt;0"))</f>
        <v>0</v>
      </c>
      <c r="G119" s="61">
        <f t="shared" si="5"/>
        <v>0</v>
      </c>
      <c r="H119" s="67"/>
      <c r="I119" s="67"/>
      <c r="J119" s="67"/>
      <c r="K119" s="67"/>
      <c r="L119" s="67"/>
      <c r="M119" s="67"/>
      <c r="N119" s="67"/>
      <c r="O119" s="67"/>
      <c r="P119" s="67"/>
      <c r="Q119" s="67"/>
      <c r="R119" s="67"/>
      <c r="S119" s="67"/>
    </row>
    <row r="120" spans="1:19">
      <c r="A120" s="54" t="s">
        <v>187</v>
      </c>
      <c r="B120" s="67">
        <f>(SUMIFS('Safeguard facility data'!BB$4:BB$312,'Safeguard facility data'!$Q$4:$Q$312,$A120,'Safeguard facility data'!BB$4:BB$312,"&gt;0"))-(SUMIFS('Safeguard facility data'!BI$4:BI$312,'Safeguard facility data'!$Q$4:$Q$312,$A120,'Safeguard facility data'!BI$4:BI$312,"&gt;0"))</f>
        <v>0</v>
      </c>
      <c r="C120" s="67">
        <f>(SUMIFS('Safeguard facility data'!BC$4:BC$312,'Safeguard facility data'!$Q$4:$Q$312,$A120,'Safeguard facility data'!BC$4:BC$312,"&gt;0"))-(SUMIFS('Safeguard facility data'!BJ$4:BJ$312,'Safeguard facility data'!$Q$4:$Q$312,$A120,'Safeguard facility data'!BJ$4:BJ$312,"&gt;0"))</f>
        <v>0</v>
      </c>
      <c r="D120" s="67">
        <f>(SUMIFS('Safeguard facility data'!BD$4:BD$312,'Safeguard facility data'!$Q$4:$Q$312,$A120,'Safeguard facility data'!BD$4:BD$312,"&gt;0"))-(SUMIFS('Safeguard facility data'!BK$4:BK$312,'Safeguard facility data'!$Q$4:$Q$312,$A120,'Safeguard facility data'!BK$4:BK$312,"&gt;0"))</f>
        <v>0</v>
      </c>
      <c r="E120" s="67">
        <f>(SUMIFS('Safeguard facility data'!BE$4:BE$312,'Safeguard facility data'!$Q$4:$Q$312,$A120,'Safeguard facility data'!BE$4:BE$312,"&gt;0"))-(SUMIFS('Safeguard facility data'!BL$4:BL$312,'Safeguard facility data'!$Q$4:$Q$312,$A120,'Safeguard facility data'!BL$4:BL$312,"&gt;0"))</f>
        <v>0</v>
      </c>
      <c r="F120" s="67">
        <f>(SUMIFS('Safeguard facility data'!BF$4:BF$312,'Safeguard facility data'!$Q$4:$Q$312,$A120,'Safeguard facility data'!BF$4:BF$312,"&gt;0"))-(SUMIFS('Safeguard facility data'!BM$4:BM$312,'Safeguard facility data'!$Q$4:$Q$312,$A120,'Safeguard facility data'!BM$4:BM$312,"&gt;0"))</f>
        <v>0</v>
      </c>
      <c r="G120" s="61">
        <f t="shared" si="5"/>
        <v>0</v>
      </c>
      <c r="H120" s="67"/>
      <c r="I120" s="67"/>
      <c r="J120" s="67"/>
      <c r="K120" s="67"/>
      <c r="L120" s="67"/>
      <c r="M120" s="67"/>
      <c r="N120" s="67"/>
      <c r="O120" s="67"/>
      <c r="P120" s="67"/>
      <c r="Q120" s="67"/>
      <c r="R120" s="67"/>
      <c r="S120" s="67"/>
    </row>
    <row r="121" spans="1:19">
      <c r="A121" s="54" t="s">
        <v>271</v>
      </c>
      <c r="B121" s="67">
        <f>(SUMIFS('Safeguard facility data'!BB$4:BB$312,'Safeguard facility data'!$Q$4:$Q$312,$A121,'Safeguard facility data'!BB$4:BB$312,"&gt;0"))-(SUMIFS('Safeguard facility data'!BI$4:BI$312,'Safeguard facility data'!$Q$4:$Q$312,$A121,'Safeguard facility data'!BI$4:BI$312,"&gt;0"))</f>
        <v>0</v>
      </c>
      <c r="C121" s="67">
        <f>(SUMIFS('Safeguard facility data'!BC$4:BC$312,'Safeguard facility data'!$Q$4:$Q$312,$A121,'Safeguard facility data'!BC$4:BC$312,"&gt;0"))-(SUMIFS('Safeguard facility data'!BJ$4:BJ$312,'Safeguard facility data'!$Q$4:$Q$312,$A121,'Safeguard facility data'!BJ$4:BJ$312,"&gt;0"))</f>
        <v>0</v>
      </c>
      <c r="D121" s="67">
        <f>(SUMIFS('Safeguard facility data'!BD$4:BD$312,'Safeguard facility data'!$Q$4:$Q$312,$A121,'Safeguard facility data'!BD$4:BD$312,"&gt;0"))-(SUMIFS('Safeguard facility data'!BK$4:BK$312,'Safeguard facility data'!$Q$4:$Q$312,$A121,'Safeguard facility data'!BK$4:BK$312,"&gt;0"))</f>
        <v>0</v>
      </c>
      <c r="E121" s="67">
        <f>(SUMIFS('Safeguard facility data'!BE$4:BE$312,'Safeguard facility data'!$Q$4:$Q$312,$A121,'Safeguard facility data'!BE$4:BE$312,"&gt;0"))-(SUMIFS('Safeguard facility data'!BL$4:BL$312,'Safeguard facility data'!$Q$4:$Q$312,$A121,'Safeguard facility data'!BL$4:BL$312,"&gt;0"))</f>
        <v>0</v>
      </c>
      <c r="F121" s="67">
        <f>(SUMIFS('Safeguard facility data'!BF$4:BF$312,'Safeguard facility data'!$Q$4:$Q$312,$A121,'Safeguard facility data'!BF$4:BF$312,"&gt;0"))-(SUMIFS('Safeguard facility data'!BM$4:BM$312,'Safeguard facility data'!$Q$4:$Q$312,$A121,'Safeguard facility data'!BM$4:BM$312,"&gt;0"))</f>
        <v>0</v>
      </c>
      <c r="G121" s="61">
        <f t="shared" si="5"/>
        <v>0</v>
      </c>
      <c r="H121" s="67"/>
      <c r="I121" s="67"/>
      <c r="J121" s="67"/>
      <c r="K121" s="67"/>
      <c r="L121" s="67"/>
      <c r="M121" s="67"/>
      <c r="N121" s="67"/>
      <c r="O121" s="67"/>
      <c r="P121" s="67"/>
      <c r="Q121" s="67"/>
      <c r="R121" s="67"/>
      <c r="S121" s="67"/>
    </row>
    <row r="122" spans="1:19">
      <c r="A122" s="54" t="s">
        <v>189</v>
      </c>
      <c r="B122" s="67">
        <f>(SUMIFS('Safeguard facility data'!BB$4:BB$312,'Safeguard facility data'!$Q$4:$Q$312,$A122,'Safeguard facility data'!BB$4:BB$312,"&gt;0"))-(SUMIFS('Safeguard facility data'!BI$4:BI$312,'Safeguard facility data'!$Q$4:$Q$312,$A122,'Safeguard facility data'!BI$4:BI$312,"&gt;0"))</f>
        <v>0</v>
      </c>
      <c r="C122" s="67">
        <f>(SUMIFS('Safeguard facility data'!BC$4:BC$312,'Safeguard facility data'!$Q$4:$Q$312,$A122,'Safeguard facility data'!BC$4:BC$312,"&gt;0"))-(SUMIFS('Safeguard facility data'!BJ$4:BJ$312,'Safeguard facility data'!$Q$4:$Q$312,$A122,'Safeguard facility data'!BJ$4:BJ$312,"&gt;0"))</f>
        <v>0</v>
      </c>
      <c r="D122" s="67">
        <f>(SUMIFS('Safeguard facility data'!BD$4:BD$312,'Safeguard facility data'!$Q$4:$Q$312,$A122,'Safeguard facility data'!BD$4:BD$312,"&gt;0"))-(SUMIFS('Safeguard facility data'!BK$4:BK$312,'Safeguard facility data'!$Q$4:$Q$312,$A122,'Safeguard facility data'!BK$4:BK$312,"&gt;0"))</f>
        <v>0</v>
      </c>
      <c r="E122" s="67">
        <f>(SUMIFS('Safeguard facility data'!BE$4:BE$312,'Safeguard facility data'!$Q$4:$Q$312,$A122,'Safeguard facility data'!BE$4:BE$312,"&gt;0"))-(SUMIFS('Safeguard facility data'!BL$4:BL$312,'Safeguard facility data'!$Q$4:$Q$312,$A122,'Safeguard facility data'!BL$4:BL$312,"&gt;0"))</f>
        <v>0</v>
      </c>
      <c r="F122" s="67">
        <f>(SUMIFS('Safeguard facility data'!BF$4:BF$312,'Safeguard facility data'!$Q$4:$Q$312,$A122,'Safeguard facility data'!BF$4:BF$312,"&gt;0"))-(SUMIFS('Safeguard facility data'!BM$4:BM$312,'Safeguard facility data'!$Q$4:$Q$312,$A122,'Safeguard facility data'!BM$4:BM$312,"&gt;0"))</f>
        <v>0</v>
      </c>
      <c r="G122" s="61">
        <f t="shared" si="5"/>
        <v>0</v>
      </c>
      <c r="H122" s="67"/>
      <c r="I122" s="67"/>
      <c r="J122" s="67"/>
      <c r="K122" s="67"/>
      <c r="L122" s="67"/>
      <c r="M122" s="67"/>
      <c r="N122" s="67"/>
      <c r="O122" s="67"/>
      <c r="P122" s="67"/>
      <c r="Q122" s="67"/>
      <c r="R122" s="67"/>
      <c r="S122" s="67"/>
    </row>
    <row r="123" spans="1:19">
      <c r="A123" s="54" t="s">
        <v>190</v>
      </c>
      <c r="B123" s="67">
        <f>(SUMIFS('Safeguard facility data'!BB$4:BB$312,'Safeguard facility data'!$Q$4:$Q$312,$A123,'Safeguard facility data'!BB$4:BB$312,"&gt;0"))-(SUMIFS('Safeguard facility data'!BI$4:BI$312,'Safeguard facility data'!$Q$4:$Q$312,$A123,'Safeguard facility data'!BI$4:BI$312,"&gt;0"))</f>
        <v>0</v>
      </c>
      <c r="C123" s="67">
        <f>(SUMIFS('Safeguard facility data'!BC$4:BC$312,'Safeguard facility data'!$Q$4:$Q$312,$A123,'Safeguard facility data'!BC$4:BC$312,"&gt;0"))-(SUMIFS('Safeguard facility data'!BJ$4:BJ$312,'Safeguard facility data'!$Q$4:$Q$312,$A123,'Safeguard facility data'!BJ$4:BJ$312,"&gt;0"))</f>
        <v>0</v>
      </c>
      <c r="D123" s="67">
        <f>(SUMIFS('Safeguard facility data'!BD$4:BD$312,'Safeguard facility data'!$Q$4:$Q$312,$A123,'Safeguard facility data'!BD$4:BD$312,"&gt;0"))-(SUMIFS('Safeguard facility data'!BK$4:BK$312,'Safeguard facility data'!$Q$4:$Q$312,$A123,'Safeguard facility data'!BK$4:BK$312,"&gt;0"))</f>
        <v>0</v>
      </c>
      <c r="E123" s="67">
        <f>(SUMIFS('Safeguard facility data'!BE$4:BE$312,'Safeguard facility data'!$Q$4:$Q$312,$A123,'Safeguard facility data'!BE$4:BE$312,"&gt;0"))-(SUMIFS('Safeguard facility data'!BL$4:BL$312,'Safeguard facility data'!$Q$4:$Q$312,$A123,'Safeguard facility data'!BL$4:BL$312,"&gt;0"))</f>
        <v>0</v>
      </c>
      <c r="F123" s="67">
        <f>(SUMIFS('Safeguard facility data'!BF$4:BF$312,'Safeguard facility data'!$Q$4:$Q$312,$A123,'Safeguard facility data'!BF$4:BF$312,"&gt;0"))-(SUMIFS('Safeguard facility data'!BM$4:BM$312,'Safeguard facility data'!$Q$4:$Q$312,$A123,'Safeguard facility data'!BM$4:BM$312,"&gt;0"))</f>
        <v>0</v>
      </c>
      <c r="G123" s="61">
        <f t="shared" si="5"/>
        <v>0</v>
      </c>
      <c r="H123" s="67"/>
      <c r="I123" s="67"/>
      <c r="J123" s="67"/>
      <c r="K123" s="67"/>
      <c r="L123" s="67"/>
      <c r="M123" s="67"/>
      <c r="N123" s="67"/>
      <c r="O123" s="67"/>
      <c r="P123" s="67"/>
      <c r="Q123" s="67"/>
      <c r="R123" s="67"/>
      <c r="S123" s="67"/>
    </row>
    <row r="124" spans="1:19">
      <c r="A124" s="54" t="s">
        <v>191</v>
      </c>
      <c r="B124" s="67">
        <f>(SUMIFS('Safeguard facility data'!BB$4:BB$312,'Safeguard facility data'!$Q$4:$Q$312,$A124,'Safeguard facility data'!BB$4:BB$312,"&gt;0"))-(SUMIFS('Safeguard facility data'!BI$4:BI$312,'Safeguard facility data'!$Q$4:$Q$312,$A124,'Safeguard facility data'!BI$4:BI$312,"&gt;0"))</f>
        <v>0</v>
      </c>
      <c r="C124" s="67">
        <f>(SUMIFS('Safeguard facility data'!BC$4:BC$312,'Safeguard facility data'!$Q$4:$Q$312,$A124,'Safeguard facility data'!BC$4:BC$312,"&gt;0"))-(SUMIFS('Safeguard facility data'!BJ$4:BJ$312,'Safeguard facility data'!$Q$4:$Q$312,$A124,'Safeguard facility data'!BJ$4:BJ$312,"&gt;0"))</f>
        <v>0</v>
      </c>
      <c r="D124" s="67">
        <f>(SUMIFS('Safeguard facility data'!BD$4:BD$312,'Safeguard facility data'!$Q$4:$Q$312,$A124,'Safeguard facility data'!BD$4:BD$312,"&gt;0"))-(SUMIFS('Safeguard facility data'!BK$4:BK$312,'Safeguard facility data'!$Q$4:$Q$312,$A124,'Safeguard facility data'!BK$4:BK$312,"&gt;0"))</f>
        <v>0</v>
      </c>
      <c r="E124" s="67">
        <f>(SUMIFS('Safeguard facility data'!BE$4:BE$312,'Safeguard facility data'!$Q$4:$Q$312,$A124,'Safeguard facility data'!BE$4:BE$312,"&gt;0"))-(SUMIFS('Safeguard facility data'!BL$4:BL$312,'Safeguard facility data'!$Q$4:$Q$312,$A124,'Safeguard facility data'!BL$4:BL$312,"&gt;0"))</f>
        <v>0</v>
      </c>
      <c r="F124" s="67">
        <f>(SUMIFS('Safeguard facility data'!BF$4:BF$312,'Safeguard facility data'!$Q$4:$Q$312,$A124,'Safeguard facility data'!BF$4:BF$312,"&gt;0"))-(SUMIFS('Safeguard facility data'!BM$4:BM$312,'Safeguard facility data'!$Q$4:$Q$312,$A124,'Safeguard facility data'!BM$4:BM$312,"&gt;0"))</f>
        <v>0</v>
      </c>
      <c r="G124" s="61">
        <f t="shared" si="5"/>
        <v>0</v>
      </c>
      <c r="H124" s="67"/>
      <c r="I124" s="67"/>
      <c r="J124" s="67"/>
      <c r="K124" s="67"/>
      <c r="L124" s="67"/>
      <c r="M124" s="67"/>
      <c r="N124" s="67"/>
      <c r="O124" s="67"/>
      <c r="P124" s="67"/>
      <c r="Q124" s="67"/>
      <c r="R124" s="67"/>
      <c r="S124" s="67"/>
    </row>
    <row r="125" spans="1:19">
      <c r="A125" s="54" t="s">
        <v>192</v>
      </c>
      <c r="B125" s="67">
        <f>(SUMIFS('Safeguard facility data'!BB$4:BB$312,'Safeguard facility data'!$Q$4:$Q$312,$A125,'Safeguard facility data'!BB$4:BB$312,"&gt;0"))-(SUMIFS('Safeguard facility data'!BI$4:BI$312,'Safeguard facility data'!$Q$4:$Q$312,$A125,'Safeguard facility data'!BI$4:BI$312,"&gt;0"))</f>
        <v>0</v>
      </c>
      <c r="C125" s="67">
        <f>(SUMIFS('Safeguard facility data'!BC$4:BC$312,'Safeguard facility data'!$Q$4:$Q$312,$A125,'Safeguard facility data'!BC$4:BC$312,"&gt;0"))-(SUMIFS('Safeguard facility data'!BJ$4:BJ$312,'Safeguard facility data'!$Q$4:$Q$312,$A125,'Safeguard facility data'!BJ$4:BJ$312,"&gt;0"))</f>
        <v>0</v>
      </c>
      <c r="D125" s="67">
        <f>(SUMIFS('Safeguard facility data'!BD$4:BD$312,'Safeguard facility data'!$Q$4:$Q$312,$A125,'Safeguard facility data'!BD$4:BD$312,"&gt;0"))-(SUMIFS('Safeguard facility data'!BK$4:BK$312,'Safeguard facility data'!$Q$4:$Q$312,$A125,'Safeguard facility data'!BK$4:BK$312,"&gt;0"))</f>
        <v>0</v>
      </c>
      <c r="E125" s="67">
        <f>(SUMIFS('Safeguard facility data'!BE$4:BE$312,'Safeguard facility data'!$Q$4:$Q$312,$A125,'Safeguard facility data'!BE$4:BE$312,"&gt;0"))-(SUMIFS('Safeguard facility data'!BL$4:BL$312,'Safeguard facility data'!$Q$4:$Q$312,$A125,'Safeguard facility data'!BL$4:BL$312,"&gt;0"))</f>
        <v>0</v>
      </c>
      <c r="F125" s="67">
        <f>(SUMIFS('Safeguard facility data'!BF$4:BF$312,'Safeguard facility data'!$Q$4:$Q$312,$A125,'Safeguard facility data'!BF$4:BF$312,"&gt;0"))-(SUMIFS('Safeguard facility data'!BM$4:BM$312,'Safeguard facility data'!$Q$4:$Q$312,$A125,'Safeguard facility data'!BM$4:BM$312,"&gt;0"))</f>
        <v>0</v>
      </c>
      <c r="G125" s="61">
        <f t="shared" si="5"/>
        <v>0</v>
      </c>
      <c r="H125" s="67"/>
      <c r="I125" s="67"/>
      <c r="J125" s="67"/>
      <c r="K125" s="67"/>
      <c r="L125" s="67"/>
      <c r="M125" s="67"/>
      <c r="N125" s="67"/>
      <c r="O125" s="67"/>
      <c r="P125" s="67"/>
      <c r="Q125" s="67"/>
      <c r="R125" s="67"/>
      <c r="S125" s="67"/>
    </row>
    <row r="126" spans="1:19">
      <c r="A126" s="54" t="s">
        <v>193</v>
      </c>
      <c r="B126" s="67">
        <f>(SUMIFS('Safeguard facility data'!BB$4:BB$312,'Safeguard facility data'!$Q$4:$Q$312,$A126,'Safeguard facility data'!BB$4:BB$312,"&gt;0"))-(SUMIFS('Safeguard facility data'!BI$4:BI$312,'Safeguard facility data'!$Q$4:$Q$312,$A126,'Safeguard facility data'!BI$4:BI$312,"&gt;0"))</f>
        <v>0</v>
      </c>
      <c r="C126" s="67">
        <f>(SUMIFS('Safeguard facility data'!BC$4:BC$312,'Safeguard facility data'!$Q$4:$Q$312,$A126,'Safeguard facility data'!BC$4:BC$312,"&gt;0"))-(SUMIFS('Safeguard facility data'!BJ$4:BJ$312,'Safeguard facility data'!$Q$4:$Q$312,$A126,'Safeguard facility data'!BJ$4:BJ$312,"&gt;0"))</f>
        <v>0</v>
      </c>
      <c r="D126" s="67">
        <f>(SUMIFS('Safeguard facility data'!BD$4:BD$312,'Safeguard facility data'!$Q$4:$Q$312,$A126,'Safeguard facility data'!BD$4:BD$312,"&gt;0"))-(SUMIFS('Safeguard facility data'!BK$4:BK$312,'Safeguard facility data'!$Q$4:$Q$312,$A126,'Safeguard facility data'!BK$4:BK$312,"&gt;0"))</f>
        <v>0</v>
      </c>
      <c r="E126" s="67">
        <f>(SUMIFS('Safeguard facility data'!BE$4:BE$312,'Safeguard facility data'!$Q$4:$Q$312,$A126,'Safeguard facility data'!BE$4:BE$312,"&gt;0"))-(SUMIFS('Safeguard facility data'!BL$4:BL$312,'Safeguard facility data'!$Q$4:$Q$312,$A126,'Safeguard facility data'!BL$4:BL$312,"&gt;0"))</f>
        <v>0</v>
      </c>
      <c r="F126" s="67">
        <f>(SUMIFS('Safeguard facility data'!BF$4:BF$312,'Safeguard facility data'!$Q$4:$Q$312,$A126,'Safeguard facility data'!BF$4:BF$312,"&gt;0"))-(SUMIFS('Safeguard facility data'!BM$4:BM$312,'Safeguard facility data'!$Q$4:$Q$312,$A126,'Safeguard facility data'!BM$4:BM$312,"&gt;0"))</f>
        <v>0</v>
      </c>
      <c r="G126" s="61">
        <f t="shared" si="5"/>
        <v>0</v>
      </c>
      <c r="H126" s="67"/>
      <c r="I126" s="67"/>
      <c r="J126" s="67"/>
      <c r="K126" s="67"/>
      <c r="L126" s="67"/>
      <c r="M126" s="67"/>
      <c r="N126" s="67"/>
      <c r="O126" s="67"/>
      <c r="P126" s="67"/>
      <c r="Q126" s="67"/>
      <c r="R126" s="67"/>
      <c r="S126" s="67"/>
    </row>
    <row r="127" spans="1:19">
      <c r="A127" s="54" t="s">
        <v>274</v>
      </c>
      <c r="B127" s="67">
        <f>(SUMIFS('Safeguard facility data'!BB$4:BB$312,'Safeguard facility data'!$Q$4:$Q$312,$A127,'Safeguard facility data'!BB$4:BB$312,"&gt;0"))-(SUMIFS('Safeguard facility data'!BI$4:BI$312,'Safeguard facility data'!$Q$4:$Q$312,$A127,'Safeguard facility data'!BI$4:BI$312,"&gt;0"))</f>
        <v>0</v>
      </c>
      <c r="C127" s="67">
        <f>(SUMIFS('Safeguard facility data'!BC$4:BC$312,'Safeguard facility data'!$Q$4:$Q$312,$A127,'Safeguard facility data'!BC$4:BC$312,"&gt;0"))-(SUMIFS('Safeguard facility data'!BJ$4:BJ$312,'Safeguard facility data'!$Q$4:$Q$312,$A127,'Safeguard facility data'!BJ$4:BJ$312,"&gt;0"))</f>
        <v>0</v>
      </c>
      <c r="D127" s="67">
        <f>(SUMIFS('Safeguard facility data'!BD$4:BD$312,'Safeguard facility data'!$Q$4:$Q$312,$A127,'Safeguard facility data'!BD$4:BD$312,"&gt;0"))-(SUMIFS('Safeguard facility data'!BK$4:BK$312,'Safeguard facility data'!$Q$4:$Q$312,$A127,'Safeguard facility data'!BK$4:BK$312,"&gt;0"))</f>
        <v>0</v>
      </c>
      <c r="E127" s="67">
        <f>(SUMIFS('Safeguard facility data'!BE$4:BE$312,'Safeguard facility data'!$Q$4:$Q$312,$A127,'Safeguard facility data'!BE$4:BE$312,"&gt;0"))-(SUMIFS('Safeguard facility data'!BL$4:BL$312,'Safeguard facility data'!$Q$4:$Q$312,$A127,'Safeguard facility data'!BL$4:BL$312,"&gt;0"))</f>
        <v>0</v>
      </c>
      <c r="F127" s="67">
        <f>(SUMIFS('Safeguard facility data'!BF$4:BF$312,'Safeguard facility data'!$Q$4:$Q$312,$A127,'Safeguard facility data'!BF$4:BF$312,"&gt;0"))-(SUMIFS('Safeguard facility data'!BM$4:BM$312,'Safeguard facility data'!$Q$4:$Q$312,$A127,'Safeguard facility data'!BM$4:BM$312,"&gt;0"))</f>
        <v>0</v>
      </c>
      <c r="G127" s="61">
        <f t="shared" si="5"/>
        <v>0</v>
      </c>
      <c r="H127" s="67"/>
      <c r="I127" s="67"/>
      <c r="J127" s="67"/>
      <c r="K127" s="67"/>
      <c r="L127" s="67"/>
      <c r="M127" s="67"/>
      <c r="N127" s="67"/>
      <c r="O127" s="67"/>
      <c r="P127" s="67"/>
      <c r="Q127" s="67"/>
      <c r="R127" s="67"/>
      <c r="S127" s="67"/>
    </row>
    <row r="128" spans="1:19">
      <c r="A128" s="54" t="s">
        <v>275</v>
      </c>
      <c r="B128" s="67">
        <f>(SUMIFS('Safeguard facility data'!BB$4:BB$312,'Safeguard facility data'!$Q$4:$Q$312,$A128,'Safeguard facility data'!BB$4:BB$312,"&gt;0"))-(SUMIFS('Safeguard facility data'!BI$4:BI$312,'Safeguard facility data'!$Q$4:$Q$312,$A128,'Safeguard facility data'!BI$4:BI$312,"&gt;0"))</f>
        <v>0</v>
      </c>
      <c r="C128" s="67">
        <f>(SUMIFS('Safeguard facility data'!BC$4:BC$312,'Safeguard facility data'!$Q$4:$Q$312,$A128,'Safeguard facility data'!BC$4:BC$312,"&gt;0"))-(SUMIFS('Safeguard facility data'!BJ$4:BJ$312,'Safeguard facility data'!$Q$4:$Q$312,$A128,'Safeguard facility data'!BJ$4:BJ$312,"&gt;0"))</f>
        <v>0</v>
      </c>
      <c r="D128" s="67">
        <f>(SUMIFS('Safeguard facility data'!BD$4:BD$312,'Safeguard facility data'!$Q$4:$Q$312,$A128,'Safeguard facility data'!BD$4:BD$312,"&gt;0"))-(SUMIFS('Safeguard facility data'!BK$4:BK$312,'Safeguard facility data'!$Q$4:$Q$312,$A128,'Safeguard facility data'!BK$4:BK$312,"&gt;0"))</f>
        <v>0</v>
      </c>
      <c r="E128" s="67">
        <f>(SUMIFS('Safeguard facility data'!BE$4:BE$312,'Safeguard facility data'!$Q$4:$Q$312,$A128,'Safeguard facility data'!BE$4:BE$312,"&gt;0"))-(SUMIFS('Safeguard facility data'!BL$4:BL$312,'Safeguard facility data'!$Q$4:$Q$312,$A128,'Safeguard facility data'!BL$4:BL$312,"&gt;0"))</f>
        <v>0</v>
      </c>
      <c r="F128" s="67">
        <f>(SUMIFS('Safeguard facility data'!BF$4:BF$312,'Safeguard facility data'!$Q$4:$Q$312,$A128,'Safeguard facility data'!BF$4:BF$312,"&gt;0"))-(SUMIFS('Safeguard facility data'!BM$4:BM$312,'Safeguard facility data'!$Q$4:$Q$312,$A128,'Safeguard facility data'!BM$4:BM$312,"&gt;0"))</f>
        <v>0</v>
      </c>
      <c r="G128" s="61">
        <f t="shared" si="5"/>
        <v>0</v>
      </c>
      <c r="H128" s="67"/>
      <c r="I128" s="67"/>
      <c r="J128" s="67"/>
      <c r="K128" s="67"/>
      <c r="L128" s="67"/>
      <c r="M128" s="67"/>
      <c r="N128" s="67"/>
      <c r="O128" s="67"/>
      <c r="P128" s="67"/>
      <c r="Q128" s="67"/>
      <c r="R128" s="67"/>
      <c r="S128" s="67"/>
    </row>
    <row r="129" spans="1:19">
      <c r="A129" s="54" t="s">
        <v>249</v>
      </c>
      <c r="B129" s="67">
        <f>(SUMIFS('Safeguard facility data'!BB$4:BB$312,'Safeguard facility data'!$Q$4:$Q$312,$A129,'Safeguard facility data'!BB$4:BB$312,"&gt;0"))-(SUMIFS('Safeguard facility data'!BI$4:BI$312,'Safeguard facility data'!$Q$4:$Q$312,$A129,'Safeguard facility data'!BI$4:BI$312,"&gt;0"))</f>
        <v>0</v>
      </c>
      <c r="C129" s="67">
        <f>(SUMIFS('Safeguard facility data'!BC$4:BC$312,'Safeguard facility data'!$Q$4:$Q$312,$A129,'Safeguard facility data'!BC$4:BC$312,"&gt;0"))-(SUMIFS('Safeguard facility data'!BJ$4:BJ$312,'Safeguard facility data'!$Q$4:$Q$312,$A129,'Safeguard facility data'!BJ$4:BJ$312,"&gt;0"))</f>
        <v>0</v>
      </c>
      <c r="D129" s="67">
        <f>(SUMIFS('Safeguard facility data'!BD$4:BD$312,'Safeguard facility data'!$Q$4:$Q$312,$A129,'Safeguard facility data'!BD$4:BD$312,"&gt;0"))-(SUMIFS('Safeguard facility data'!BK$4:BK$312,'Safeguard facility data'!$Q$4:$Q$312,$A129,'Safeguard facility data'!BK$4:BK$312,"&gt;0"))</f>
        <v>0</v>
      </c>
      <c r="E129" s="67">
        <f>(SUMIFS('Safeguard facility data'!BE$4:BE$312,'Safeguard facility data'!$Q$4:$Q$312,$A129,'Safeguard facility data'!BE$4:BE$312,"&gt;0"))-(SUMIFS('Safeguard facility data'!BL$4:BL$312,'Safeguard facility data'!$Q$4:$Q$312,$A129,'Safeguard facility data'!BL$4:BL$312,"&gt;0"))</f>
        <v>0</v>
      </c>
      <c r="F129" s="67">
        <f>(SUMIFS('Safeguard facility data'!BF$4:BF$312,'Safeguard facility data'!$Q$4:$Q$312,$A129,'Safeguard facility data'!BF$4:BF$312,"&gt;0"))-(SUMIFS('Safeguard facility data'!BM$4:BM$312,'Safeguard facility data'!$Q$4:$Q$312,$A129,'Safeguard facility data'!BM$4:BM$312,"&gt;0"))</f>
        <v>0</v>
      </c>
      <c r="G129" s="61">
        <f t="shared" si="5"/>
        <v>0</v>
      </c>
      <c r="H129" s="67"/>
      <c r="I129" s="67"/>
      <c r="J129" s="67"/>
      <c r="K129" s="67"/>
      <c r="L129" s="67"/>
      <c r="M129" s="67"/>
      <c r="N129" s="67"/>
      <c r="O129" s="67"/>
      <c r="P129" s="67"/>
      <c r="Q129" s="67"/>
      <c r="R129" s="67"/>
      <c r="S129" s="67"/>
    </row>
    <row r="130" spans="1:19">
      <c r="A130" s="54" t="s">
        <v>284</v>
      </c>
      <c r="B130" s="67">
        <f>(SUMIFS('Safeguard facility data'!BB$4:BB$312,'Safeguard facility data'!$Q$4:$Q$312,$A130,'Safeguard facility data'!BB$4:BB$312,"&gt;0"))-(SUMIFS('Safeguard facility data'!BI$4:BI$312,'Safeguard facility data'!$Q$4:$Q$312,$A130,'Safeguard facility data'!BI$4:BI$312,"&gt;0"))</f>
        <v>0</v>
      </c>
      <c r="C130" s="67">
        <f>(SUMIFS('Safeguard facility data'!BC$4:BC$312,'Safeguard facility data'!$Q$4:$Q$312,$A130,'Safeguard facility data'!BC$4:BC$312,"&gt;0"))-(SUMIFS('Safeguard facility data'!BJ$4:BJ$312,'Safeguard facility data'!$Q$4:$Q$312,$A130,'Safeguard facility data'!BJ$4:BJ$312,"&gt;0"))</f>
        <v>0</v>
      </c>
      <c r="D130" s="67">
        <f>(SUMIFS('Safeguard facility data'!BD$4:BD$312,'Safeguard facility data'!$Q$4:$Q$312,$A130,'Safeguard facility data'!BD$4:BD$312,"&gt;0"))-(SUMIFS('Safeguard facility data'!BK$4:BK$312,'Safeguard facility data'!$Q$4:$Q$312,$A130,'Safeguard facility data'!BK$4:BK$312,"&gt;0"))</f>
        <v>0</v>
      </c>
      <c r="E130" s="67">
        <f>(SUMIFS('Safeguard facility data'!BE$4:BE$312,'Safeguard facility data'!$Q$4:$Q$312,$A130,'Safeguard facility data'!BE$4:BE$312,"&gt;0"))-(SUMIFS('Safeguard facility data'!BL$4:BL$312,'Safeguard facility data'!$Q$4:$Q$312,$A130,'Safeguard facility data'!BL$4:BL$312,"&gt;0"))</f>
        <v>0</v>
      </c>
      <c r="F130" s="67">
        <f>(SUMIFS('Safeguard facility data'!BF$4:BF$312,'Safeguard facility data'!$Q$4:$Q$312,$A130,'Safeguard facility data'!BF$4:BF$312,"&gt;0"))-(SUMIFS('Safeguard facility data'!BM$4:BM$312,'Safeguard facility data'!$Q$4:$Q$312,$A130,'Safeguard facility data'!BM$4:BM$312,"&gt;0"))</f>
        <v>0</v>
      </c>
      <c r="G130" s="61">
        <f t="shared" si="5"/>
        <v>0</v>
      </c>
      <c r="H130" s="67"/>
      <c r="I130" s="67"/>
      <c r="J130" s="67"/>
      <c r="K130" s="67"/>
      <c r="L130" s="67"/>
      <c r="M130" s="67"/>
      <c r="N130" s="67"/>
      <c r="O130" s="67"/>
      <c r="P130" s="67"/>
      <c r="Q130" s="67"/>
      <c r="R130" s="67"/>
      <c r="S130" s="67"/>
    </row>
    <row r="131" spans="1:19">
      <c r="A131" s="54" t="s">
        <v>194</v>
      </c>
      <c r="B131" s="67">
        <f>(SUMIFS('Safeguard facility data'!BB$4:BB$312,'Safeguard facility data'!$Q$4:$Q$312,$A131,'Safeguard facility data'!BB$4:BB$312,"&gt;0"))-(SUMIFS('Safeguard facility data'!BI$4:BI$312,'Safeguard facility data'!$Q$4:$Q$312,$A131,'Safeguard facility data'!BI$4:BI$312,"&gt;0"))</f>
        <v>0</v>
      </c>
      <c r="C131" s="67">
        <f>(SUMIFS('Safeguard facility data'!BC$4:BC$312,'Safeguard facility data'!$Q$4:$Q$312,$A131,'Safeguard facility data'!BC$4:BC$312,"&gt;0"))-(SUMIFS('Safeguard facility data'!BJ$4:BJ$312,'Safeguard facility data'!$Q$4:$Q$312,$A131,'Safeguard facility data'!BJ$4:BJ$312,"&gt;0"))</f>
        <v>0</v>
      </c>
      <c r="D131" s="67">
        <f>(SUMIFS('Safeguard facility data'!BD$4:BD$312,'Safeguard facility data'!$Q$4:$Q$312,$A131,'Safeguard facility data'!BD$4:BD$312,"&gt;0"))-(SUMIFS('Safeguard facility data'!BK$4:BK$312,'Safeguard facility data'!$Q$4:$Q$312,$A131,'Safeguard facility data'!BK$4:BK$312,"&gt;0"))</f>
        <v>0</v>
      </c>
      <c r="E131" s="67">
        <f>(SUMIFS('Safeguard facility data'!BE$4:BE$312,'Safeguard facility data'!$Q$4:$Q$312,$A131,'Safeguard facility data'!BE$4:BE$312,"&gt;0"))-(SUMIFS('Safeguard facility data'!BL$4:BL$312,'Safeguard facility data'!$Q$4:$Q$312,$A131,'Safeguard facility data'!BL$4:BL$312,"&gt;0"))</f>
        <v>0</v>
      </c>
      <c r="F131" s="67">
        <f>(SUMIFS('Safeguard facility data'!BF$4:BF$312,'Safeguard facility data'!$Q$4:$Q$312,$A131,'Safeguard facility data'!BF$4:BF$312,"&gt;0"))-(SUMIFS('Safeguard facility data'!BM$4:BM$312,'Safeguard facility data'!$Q$4:$Q$312,$A131,'Safeguard facility data'!BM$4:BM$312,"&gt;0"))</f>
        <v>0</v>
      </c>
      <c r="G131" s="61">
        <f t="shared" si="5"/>
        <v>0</v>
      </c>
      <c r="H131" s="67"/>
      <c r="I131" s="67"/>
      <c r="J131" s="67"/>
      <c r="K131" s="67"/>
      <c r="L131" s="67"/>
      <c r="M131" s="67"/>
      <c r="N131" s="67"/>
      <c r="O131" s="67"/>
      <c r="P131" s="67"/>
      <c r="Q131" s="67"/>
      <c r="R131" s="67"/>
      <c r="S131" s="67"/>
    </row>
    <row r="132" spans="1:19">
      <c r="A132" s="54" t="s">
        <v>250</v>
      </c>
      <c r="B132" s="67">
        <f>(SUMIFS('Safeguard facility data'!BB$4:BB$312,'Safeguard facility data'!$Q$4:$Q$312,$A132,'Safeguard facility data'!BB$4:BB$312,"&gt;0"))-(SUMIFS('Safeguard facility data'!BI$4:BI$312,'Safeguard facility data'!$Q$4:$Q$312,$A132,'Safeguard facility data'!BI$4:BI$312,"&gt;0"))</f>
        <v>0</v>
      </c>
      <c r="C132" s="67">
        <f>(SUMIFS('Safeguard facility data'!BC$4:BC$312,'Safeguard facility data'!$Q$4:$Q$312,$A132,'Safeguard facility data'!BC$4:BC$312,"&gt;0"))-(SUMIFS('Safeguard facility data'!BJ$4:BJ$312,'Safeguard facility data'!$Q$4:$Q$312,$A132,'Safeguard facility data'!BJ$4:BJ$312,"&gt;0"))</f>
        <v>0</v>
      </c>
      <c r="D132" s="67">
        <f>(SUMIFS('Safeguard facility data'!BD$4:BD$312,'Safeguard facility data'!$Q$4:$Q$312,$A132,'Safeguard facility data'!BD$4:BD$312,"&gt;0"))-(SUMIFS('Safeguard facility data'!BK$4:BK$312,'Safeguard facility data'!$Q$4:$Q$312,$A132,'Safeguard facility data'!BK$4:BK$312,"&gt;0"))</f>
        <v>0</v>
      </c>
      <c r="E132" s="67">
        <f>(SUMIFS('Safeguard facility data'!BE$4:BE$312,'Safeguard facility data'!$Q$4:$Q$312,$A132,'Safeguard facility data'!BE$4:BE$312,"&gt;0"))-(SUMIFS('Safeguard facility data'!BL$4:BL$312,'Safeguard facility data'!$Q$4:$Q$312,$A132,'Safeguard facility data'!BL$4:BL$312,"&gt;0"))</f>
        <v>0</v>
      </c>
      <c r="F132" s="67">
        <f>(SUMIFS('Safeguard facility data'!BF$4:BF$312,'Safeguard facility data'!$Q$4:$Q$312,$A132,'Safeguard facility data'!BF$4:BF$312,"&gt;0"))-(SUMIFS('Safeguard facility data'!BM$4:BM$312,'Safeguard facility data'!$Q$4:$Q$312,$A132,'Safeguard facility data'!BM$4:BM$312,"&gt;0"))</f>
        <v>0</v>
      </c>
      <c r="G132" s="61">
        <f t="shared" ref="G132:G163" si="6">SUM(B132:F132)</f>
        <v>0</v>
      </c>
      <c r="H132" s="67"/>
      <c r="I132" s="67"/>
      <c r="J132" s="67"/>
      <c r="K132" s="67"/>
      <c r="L132" s="67"/>
      <c r="M132" s="67"/>
      <c r="N132" s="67"/>
      <c r="O132" s="67"/>
      <c r="P132" s="67"/>
      <c r="Q132" s="67"/>
      <c r="R132" s="67"/>
      <c r="S132" s="67"/>
    </row>
    <row r="133" spans="1:19">
      <c r="A133" s="54" t="s">
        <v>195</v>
      </c>
      <c r="B133" s="67">
        <f>(SUMIFS('Safeguard facility data'!BB$4:BB$312,'Safeguard facility data'!$Q$4:$Q$312,$A133,'Safeguard facility data'!BB$4:BB$312,"&gt;0"))-(SUMIFS('Safeguard facility data'!BI$4:BI$312,'Safeguard facility data'!$Q$4:$Q$312,$A133,'Safeguard facility data'!BI$4:BI$312,"&gt;0"))</f>
        <v>0</v>
      </c>
      <c r="C133" s="67">
        <f>(SUMIFS('Safeguard facility data'!BC$4:BC$312,'Safeguard facility data'!$Q$4:$Q$312,$A133,'Safeguard facility data'!BC$4:BC$312,"&gt;0"))-(SUMIFS('Safeguard facility data'!BJ$4:BJ$312,'Safeguard facility data'!$Q$4:$Q$312,$A133,'Safeguard facility data'!BJ$4:BJ$312,"&gt;0"))</f>
        <v>0</v>
      </c>
      <c r="D133" s="67">
        <f>(SUMIFS('Safeguard facility data'!BD$4:BD$312,'Safeguard facility data'!$Q$4:$Q$312,$A133,'Safeguard facility data'!BD$4:BD$312,"&gt;0"))-(SUMIFS('Safeguard facility data'!BK$4:BK$312,'Safeguard facility data'!$Q$4:$Q$312,$A133,'Safeguard facility data'!BK$4:BK$312,"&gt;0"))</f>
        <v>0</v>
      </c>
      <c r="E133" s="67">
        <f>(SUMIFS('Safeguard facility data'!BE$4:BE$312,'Safeguard facility data'!$Q$4:$Q$312,$A133,'Safeguard facility data'!BE$4:BE$312,"&gt;0"))-(SUMIFS('Safeguard facility data'!BL$4:BL$312,'Safeguard facility data'!$Q$4:$Q$312,$A133,'Safeguard facility data'!BL$4:BL$312,"&gt;0"))</f>
        <v>0</v>
      </c>
      <c r="F133" s="67">
        <f>(SUMIFS('Safeguard facility data'!BF$4:BF$312,'Safeguard facility data'!$Q$4:$Q$312,$A133,'Safeguard facility data'!BF$4:BF$312,"&gt;0"))-(SUMIFS('Safeguard facility data'!BM$4:BM$312,'Safeguard facility data'!$Q$4:$Q$312,$A133,'Safeguard facility data'!BM$4:BM$312,"&gt;0"))</f>
        <v>0</v>
      </c>
      <c r="G133" s="61">
        <f t="shared" si="6"/>
        <v>0</v>
      </c>
      <c r="H133" s="67"/>
      <c r="I133" s="67"/>
      <c r="J133" s="67"/>
      <c r="K133" s="67"/>
      <c r="L133" s="67"/>
      <c r="M133" s="67"/>
      <c r="N133" s="67"/>
      <c r="O133" s="67"/>
      <c r="P133" s="67"/>
      <c r="Q133" s="67"/>
      <c r="R133" s="67"/>
      <c r="S133" s="67"/>
    </row>
    <row r="134" spans="1:19">
      <c r="A134" s="54" t="s">
        <v>196</v>
      </c>
      <c r="B134" s="67">
        <f>(SUMIFS('Safeguard facility data'!BB$4:BB$312,'Safeguard facility data'!$Q$4:$Q$312,$A134,'Safeguard facility data'!BB$4:BB$312,"&gt;0"))-(SUMIFS('Safeguard facility data'!BI$4:BI$312,'Safeguard facility data'!$Q$4:$Q$312,$A134,'Safeguard facility data'!BI$4:BI$312,"&gt;0"))</f>
        <v>0</v>
      </c>
      <c r="C134" s="67">
        <f>(SUMIFS('Safeguard facility data'!BC$4:BC$312,'Safeguard facility data'!$Q$4:$Q$312,$A134,'Safeguard facility data'!BC$4:BC$312,"&gt;0"))-(SUMIFS('Safeguard facility data'!BJ$4:BJ$312,'Safeguard facility data'!$Q$4:$Q$312,$A134,'Safeguard facility data'!BJ$4:BJ$312,"&gt;0"))</f>
        <v>0</v>
      </c>
      <c r="D134" s="67">
        <f>(SUMIFS('Safeguard facility data'!BD$4:BD$312,'Safeguard facility data'!$Q$4:$Q$312,$A134,'Safeguard facility data'!BD$4:BD$312,"&gt;0"))-(SUMIFS('Safeguard facility data'!BK$4:BK$312,'Safeguard facility data'!$Q$4:$Q$312,$A134,'Safeguard facility data'!BK$4:BK$312,"&gt;0"))</f>
        <v>0</v>
      </c>
      <c r="E134" s="67">
        <f>(SUMIFS('Safeguard facility data'!BE$4:BE$312,'Safeguard facility data'!$Q$4:$Q$312,$A134,'Safeguard facility data'!BE$4:BE$312,"&gt;0"))-(SUMIFS('Safeguard facility data'!BL$4:BL$312,'Safeguard facility data'!$Q$4:$Q$312,$A134,'Safeguard facility data'!BL$4:BL$312,"&gt;0"))</f>
        <v>0</v>
      </c>
      <c r="F134" s="67">
        <f>(SUMIFS('Safeguard facility data'!BF$4:BF$312,'Safeguard facility data'!$Q$4:$Q$312,$A134,'Safeguard facility data'!BF$4:BF$312,"&gt;0"))-(SUMIFS('Safeguard facility data'!BM$4:BM$312,'Safeguard facility data'!$Q$4:$Q$312,$A134,'Safeguard facility data'!BM$4:BM$312,"&gt;0"))</f>
        <v>0</v>
      </c>
      <c r="G134" s="61">
        <f t="shared" si="6"/>
        <v>0</v>
      </c>
      <c r="H134" s="67"/>
      <c r="I134" s="67"/>
      <c r="J134" s="67"/>
      <c r="K134" s="67"/>
      <c r="L134" s="67"/>
      <c r="M134" s="67"/>
      <c r="N134" s="67"/>
      <c r="O134" s="67"/>
      <c r="P134" s="67"/>
      <c r="Q134" s="67"/>
      <c r="R134" s="67"/>
      <c r="S134" s="67"/>
    </row>
    <row r="135" spans="1:19">
      <c r="A135" s="54" t="s">
        <v>197</v>
      </c>
      <c r="B135" s="67">
        <f>(SUMIFS('Safeguard facility data'!BB$4:BB$312,'Safeguard facility data'!$Q$4:$Q$312,$A135,'Safeguard facility data'!BB$4:BB$312,"&gt;0"))-(SUMIFS('Safeguard facility data'!BI$4:BI$312,'Safeguard facility data'!$Q$4:$Q$312,$A135,'Safeguard facility data'!BI$4:BI$312,"&gt;0"))</f>
        <v>0</v>
      </c>
      <c r="C135" s="67">
        <f>(SUMIFS('Safeguard facility data'!BC$4:BC$312,'Safeguard facility data'!$Q$4:$Q$312,$A135,'Safeguard facility data'!BC$4:BC$312,"&gt;0"))-(SUMIFS('Safeguard facility data'!BJ$4:BJ$312,'Safeguard facility data'!$Q$4:$Q$312,$A135,'Safeguard facility data'!BJ$4:BJ$312,"&gt;0"))</f>
        <v>0</v>
      </c>
      <c r="D135" s="67">
        <f>(SUMIFS('Safeguard facility data'!BD$4:BD$312,'Safeguard facility data'!$Q$4:$Q$312,$A135,'Safeguard facility data'!BD$4:BD$312,"&gt;0"))-(SUMIFS('Safeguard facility data'!BK$4:BK$312,'Safeguard facility data'!$Q$4:$Q$312,$A135,'Safeguard facility data'!BK$4:BK$312,"&gt;0"))</f>
        <v>0</v>
      </c>
      <c r="E135" s="67">
        <f>(SUMIFS('Safeguard facility data'!BE$4:BE$312,'Safeguard facility data'!$Q$4:$Q$312,$A135,'Safeguard facility data'!BE$4:BE$312,"&gt;0"))-(SUMIFS('Safeguard facility data'!BL$4:BL$312,'Safeguard facility data'!$Q$4:$Q$312,$A135,'Safeguard facility data'!BL$4:BL$312,"&gt;0"))</f>
        <v>0</v>
      </c>
      <c r="F135" s="67">
        <f>(SUMIFS('Safeguard facility data'!BF$4:BF$312,'Safeguard facility data'!$Q$4:$Q$312,$A135,'Safeguard facility data'!BF$4:BF$312,"&gt;0"))-(SUMIFS('Safeguard facility data'!BM$4:BM$312,'Safeguard facility data'!$Q$4:$Q$312,$A135,'Safeguard facility data'!BM$4:BM$312,"&gt;0"))</f>
        <v>0</v>
      </c>
      <c r="G135" s="61">
        <f t="shared" si="6"/>
        <v>0</v>
      </c>
      <c r="H135" s="67"/>
      <c r="I135" s="67"/>
      <c r="J135" s="67"/>
      <c r="K135" s="67"/>
      <c r="L135" s="67"/>
      <c r="M135" s="67"/>
      <c r="N135" s="67"/>
      <c r="O135" s="67"/>
      <c r="P135" s="67"/>
      <c r="Q135" s="67"/>
      <c r="R135" s="67"/>
      <c r="S135" s="67"/>
    </row>
    <row r="136" spans="1:19">
      <c r="A136" s="54" t="s">
        <v>113</v>
      </c>
      <c r="B136" s="67">
        <f>(SUMIFS('Safeguard facility data'!BB$4:BB$312,'Safeguard facility data'!$Q$4:$Q$312,$A136,'Safeguard facility data'!BB$4:BB$312,"&gt;0"))-(SUMIFS('Safeguard facility data'!BI$4:BI$312,'Safeguard facility data'!$Q$4:$Q$312,$A136,'Safeguard facility data'!BI$4:BI$312,"&gt;0"))</f>
        <v>0</v>
      </c>
      <c r="C136" s="67">
        <f>(SUMIFS('Safeguard facility data'!BC$4:BC$312,'Safeguard facility data'!$Q$4:$Q$312,$A136,'Safeguard facility data'!BC$4:BC$312,"&gt;0"))-(SUMIFS('Safeguard facility data'!BJ$4:BJ$312,'Safeguard facility data'!$Q$4:$Q$312,$A136,'Safeguard facility data'!BJ$4:BJ$312,"&gt;0"))</f>
        <v>0</v>
      </c>
      <c r="D136" s="67">
        <f>(SUMIFS('Safeguard facility data'!BD$4:BD$312,'Safeguard facility data'!$Q$4:$Q$312,$A136,'Safeguard facility data'!BD$4:BD$312,"&gt;0"))-(SUMIFS('Safeguard facility data'!BK$4:BK$312,'Safeguard facility data'!$Q$4:$Q$312,$A136,'Safeguard facility data'!BK$4:BK$312,"&gt;0"))</f>
        <v>0</v>
      </c>
      <c r="E136" s="67">
        <f>(SUMIFS('Safeguard facility data'!BE$4:BE$312,'Safeguard facility data'!$Q$4:$Q$312,$A136,'Safeguard facility data'!BE$4:BE$312,"&gt;0"))-(SUMIFS('Safeguard facility data'!BL$4:BL$312,'Safeguard facility data'!$Q$4:$Q$312,$A136,'Safeguard facility data'!BL$4:BL$312,"&gt;0"))</f>
        <v>0</v>
      </c>
      <c r="F136" s="67">
        <f>(SUMIFS('Safeguard facility data'!BF$4:BF$312,'Safeguard facility data'!$Q$4:$Q$312,$A136,'Safeguard facility data'!BF$4:BF$312,"&gt;0"))-(SUMIFS('Safeguard facility data'!BM$4:BM$312,'Safeguard facility data'!$Q$4:$Q$312,$A136,'Safeguard facility data'!BM$4:BM$312,"&gt;0"))</f>
        <v>0</v>
      </c>
      <c r="G136" s="61">
        <f t="shared" si="6"/>
        <v>0</v>
      </c>
      <c r="H136" s="67"/>
      <c r="I136" s="67"/>
      <c r="J136" s="67"/>
      <c r="K136" s="67"/>
      <c r="L136" s="67"/>
      <c r="M136" s="67"/>
      <c r="N136" s="67"/>
      <c r="O136" s="67"/>
      <c r="P136" s="67"/>
      <c r="Q136" s="67"/>
      <c r="R136" s="67"/>
      <c r="S136" s="67"/>
    </row>
    <row r="137" spans="1:19">
      <c r="A137" s="54" t="s">
        <v>198</v>
      </c>
      <c r="B137" s="67">
        <f>(SUMIFS('Safeguard facility data'!BB$4:BB$312,'Safeguard facility data'!$Q$4:$Q$312,$A137,'Safeguard facility data'!BB$4:BB$312,"&gt;0"))-(SUMIFS('Safeguard facility data'!BI$4:BI$312,'Safeguard facility data'!$Q$4:$Q$312,$A137,'Safeguard facility data'!BI$4:BI$312,"&gt;0"))</f>
        <v>0</v>
      </c>
      <c r="C137" s="67">
        <f>(SUMIFS('Safeguard facility data'!BC$4:BC$312,'Safeguard facility data'!$Q$4:$Q$312,$A137,'Safeguard facility data'!BC$4:BC$312,"&gt;0"))-(SUMIFS('Safeguard facility data'!BJ$4:BJ$312,'Safeguard facility data'!$Q$4:$Q$312,$A137,'Safeguard facility data'!BJ$4:BJ$312,"&gt;0"))</f>
        <v>0</v>
      </c>
      <c r="D137" s="67">
        <f>(SUMIFS('Safeguard facility data'!BD$4:BD$312,'Safeguard facility data'!$Q$4:$Q$312,$A137,'Safeguard facility data'!BD$4:BD$312,"&gt;0"))-(SUMIFS('Safeguard facility data'!BK$4:BK$312,'Safeguard facility data'!$Q$4:$Q$312,$A137,'Safeguard facility data'!BK$4:BK$312,"&gt;0"))</f>
        <v>0</v>
      </c>
      <c r="E137" s="67">
        <f>(SUMIFS('Safeguard facility data'!BE$4:BE$312,'Safeguard facility data'!$Q$4:$Q$312,$A137,'Safeguard facility data'!BE$4:BE$312,"&gt;0"))-(SUMIFS('Safeguard facility data'!BL$4:BL$312,'Safeguard facility data'!$Q$4:$Q$312,$A137,'Safeguard facility data'!BL$4:BL$312,"&gt;0"))</f>
        <v>0</v>
      </c>
      <c r="F137" s="67">
        <f>(SUMIFS('Safeguard facility data'!BF$4:BF$312,'Safeguard facility data'!$Q$4:$Q$312,$A137,'Safeguard facility data'!BF$4:BF$312,"&gt;0"))-(SUMIFS('Safeguard facility data'!BM$4:BM$312,'Safeguard facility data'!$Q$4:$Q$312,$A137,'Safeguard facility data'!BM$4:BM$312,"&gt;0"))</f>
        <v>0</v>
      </c>
      <c r="G137" s="61">
        <f t="shared" si="6"/>
        <v>0</v>
      </c>
      <c r="H137" s="67"/>
      <c r="I137" s="67"/>
      <c r="J137" s="67"/>
      <c r="K137" s="67"/>
      <c r="L137" s="67"/>
      <c r="M137" s="67"/>
      <c r="N137" s="67"/>
      <c r="O137" s="67"/>
      <c r="P137" s="67"/>
      <c r="Q137" s="67"/>
      <c r="R137" s="67"/>
      <c r="S137" s="67"/>
    </row>
    <row r="138" spans="1:19">
      <c r="A138" s="54" t="s">
        <v>97</v>
      </c>
      <c r="B138" s="67">
        <f>(SUMIFS('Safeguard facility data'!BB$4:BB$312,'Safeguard facility data'!$Q$4:$Q$312,$A138,'Safeguard facility data'!BB$4:BB$312,"&gt;0"))-(SUMIFS('Safeguard facility data'!BI$4:BI$312,'Safeguard facility data'!$Q$4:$Q$312,$A138,'Safeguard facility data'!BI$4:BI$312,"&gt;0"))</f>
        <v>0</v>
      </c>
      <c r="C138" s="67">
        <f>(SUMIFS('Safeguard facility data'!BC$4:BC$312,'Safeguard facility data'!$Q$4:$Q$312,$A138,'Safeguard facility data'!BC$4:BC$312,"&gt;0"))-(SUMIFS('Safeguard facility data'!BJ$4:BJ$312,'Safeguard facility data'!$Q$4:$Q$312,$A138,'Safeguard facility data'!BJ$4:BJ$312,"&gt;0"))</f>
        <v>0</v>
      </c>
      <c r="D138" s="67">
        <f>(SUMIFS('Safeguard facility data'!BD$4:BD$312,'Safeguard facility data'!$Q$4:$Q$312,$A138,'Safeguard facility data'!BD$4:BD$312,"&gt;0"))-(SUMIFS('Safeguard facility data'!BK$4:BK$312,'Safeguard facility data'!$Q$4:$Q$312,$A138,'Safeguard facility data'!BK$4:BK$312,"&gt;0"))</f>
        <v>0</v>
      </c>
      <c r="E138" s="67">
        <f>(SUMIFS('Safeguard facility data'!BE$4:BE$312,'Safeguard facility data'!$Q$4:$Q$312,$A138,'Safeguard facility data'!BE$4:BE$312,"&gt;0"))-(SUMIFS('Safeguard facility data'!BL$4:BL$312,'Safeguard facility data'!$Q$4:$Q$312,$A138,'Safeguard facility data'!BL$4:BL$312,"&gt;0"))</f>
        <v>0</v>
      </c>
      <c r="F138" s="67">
        <f>(SUMIFS('Safeguard facility data'!BF$4:BF$312,'Safeguard facility data'!$Q$4:$Q$312,$A138,'Safeguard facility data'!BF$4:BF$312,"&gt;0"))-(SUMIFS('Safeguard facility data'!BM$4:BM$312,'Safeguard facility data'!$Q$4:$Q$312,$A138,'Safeguard facility data'!BM$4:BM$312,"&gt;0"))</f>
        <v>0</v>
      </c>
      <c r="G138" s="61">
        <f t="shared" si="6"/>
        <v>0</v>
      </c>
      <c r="H138" s="67"/>
      <c r="I138" s="67"/>
      <c r="J138" s="67"/>
      <c r="K138" s="67"/>
      <c r="L138" s="67"/>
      <c r="M138" s="67"/>
      <c r="N138" s="67"/>
      <c r="O138" s="67"/>
      <c r="P138" s="67"/>
      <c r="Q138" s="67"/>
      <c r="R138" s="67"/>
      <c r="S138" s="67"/>
    </row>
    <row r="139" spans="1:19">
      <c r="A139" s="54" t="s">
        <v>276</v>
      </c>
      <c r="B139" s="67">
        <f>(SUMIFS('Safeguard facility data'!BB$4:BB$312,'Safeguard facility data'!$Q$4:$Q$312,$A139,'Safeguard facility data'!BB$4:BB$312,"&gt;0"))-(SUMIFS('Safeguard facility data'!BI$4:BI$312,'Safeguard facility data'!$Q$4:$Q$312,$A139,'Safeguard facility data'!BI$4:BI$312,"&gt;0"))</f>
        <v>0</v>
      </c>
      <c r="C139" s="67">
        <f>(SUMIFS('Safeguard facility data'!BC$4:BC$312,'Safeguard facility data'!$Q$4:$Q$312,$A139,'Safeguard facility data'!BC$4:BC$312,"&gt;0"))-(SUMIFS('Safeguard facility data'!BJ$4:BJ$312,'Safeguard facility data'!$Q$4:$Q$312,$A139,'Safeguard facility data'!BJ$4:BJ$312,"&gt;0"))</f>
        <v>0</v>
      </c>
      <c r="D139" s="67">
        <f>(SUMIFS('Safeguard facility data'!BD$4:BD$312,'Safeguard facility data'!$Q$4:$Q$312,$A139,'Safeguard facility data'!BD$4:BD$312,"&gt;0"))-(SUMIFS('Safeguard facility data'!BK$4:BK$312,'Safeguard facility data'!$Q$4:$Q$312,$A139,'Safeguard facility data'!BK$4:BK$312,"&gt;0"))</f>
        <v>0</v>
      </c>
      <c r="E139" s="67">
        <f>(SUMIFS('Safeguard facility data'!BE$4:BE$312,'Safeguard facility data'!$Q$4:$Q$312,$A139,'Safeguard facility data'!BE$4:BE$312,"&gt;0"))-(SUMIFS('Safeguard facility data'!BL$4:BL$312,'Safeguard facility data'!$Q$4:$Q$312,$A139,'Safeguard facility data'!BL$4:BL$312,"&gt;0"))</f>
        <v>0</v>
      </c>
      <c r="F139" s="67">
        <f>(SUMIFS('Safeguard facility data'!BF$4:BF$312,'Safeguard facility data'!$Q$4:$Q$312,$A139,'Safeguard facility data'!BF$4:BF$312,"&gt;0"))-(SUMIFS('Safeguard facility data'!BM$4:BM$312,'Safeguard facility data'!$Q$4:$Q$312,$A139,'Safeguard facility data'!BM$4:BM$312,"&gt;0"))</f>
        <v>0</v>
      </c>
      <c r="G139" s="61">
        <f t="shared" si="6"/>
        <v>0</v>
      </c>
      <c r="H139" s="67"/>
      <c r="I139" s="67"/>
      <c r="J139" s="67"/>
      <c r="K139" s="67"/>
      <c r="L139" s="67"/>
      <c r="M139" s="67"/>
      <c r="N139" s="67"/>
      <c r="O139" s="67"/>
      <c r="P139" s="67"/>
      <c r="Q139" s="67"/>
      <c r="R139" s="67"/>
      <c r="S139" s="67"/>
    </row>
    <row r="140" spans="1:19">
      <c r="A140" s="54" t="s">
        <v>199</v>
      </c>
      <c r="B140" s="67">
        <f>(SUMIFS('Safeguard facility data'!BB$4:BB$312,'Safeguard facility data'!$Q$4:$Q$312,$A140,'Safeguard facility data'!BB$4:BB$312,"&gt;0"))-(SUMIFS('Safeguard facility data'!BI$4:BI$312,'Safeguard facility data'!$Q$4:$Q$312,$A140,'Safeguard facility data'!BI$4:BI$312,"&gt;0"))</f>
        <v>0</v>
      </c>
      <c r="C140" s="67">
        <f>(SUMIFS('Safeguard facility data'!BC$4:BC$312,'Safeguard facility data'!$Q$4:$Q$312,$A140,'Safeguard facility data'!BC$4:BC$312,"&gt;0"))-(SUMIFS('Safeguard facility data'!BJ$4:BJ$312,'Safeguard facility data'!$Q$4:$Q$312,$A140,'Safeguard facility data'!BJ$4:BJ$312,"&gt;0"))</f>
        <v>0</v>
      </c>
      <c r="D140" s="67">
        <f>(SUMIFS('Safeguard facility data'!BD$4:BD$312,'Safeguard facility data'!$Q$4:$Q$312,$A140,'Safeguard facility data'!BD$4:BD$312,"&gt;0"))-(SUMIFS('Safeguard facility data'!BK$4:BK$312,'Safeguard facility data'!$Q$4:$Q$312,$A140,'Safeguard facility data'!BK$4:BK$312,"&gt;0"))</f>
        <v>0</v>
      </c>
      <c r="E140" s="67">
        <f>(SUMIFS('Safeguard facility data'!BE$4:BE$312,'Safeguard facility data'!$Q$4:$Q$312,$A140,'Safeguard facility data'!BE$4:BE$312,"&gt;0"))-(SUMIFS('Safeguard facility data'!BL$4:BL$312,'Safeguard facility data'!$Q$4:$Q$312,$A140,'Safeguard facility data'!BL$4:BL$312,"&gt;0"))</f>
        <v>0</v>
      </c>
      <c r="F140" s="67">
        <f>(SUMIFS('Safeguard facility data'!BF$4:BF$312,'Safeguard facility data'!$Q$4:$Q$312,$A140,'Safeguard facility data'!BF$4:BF$312,"&gt;0"))-(SUMIFS('Safeguard facility data'!BM$4:BM$312,'Safeguard facility data'!$Q$4:$Q$312,$A140,'Safeguard facility data'!BM$4:BM$312,"&gt;0"))</f>
        <v>0</v>
      </c>
      <c r="G140" s="61">
        <f t="shared" si="6"/>
        <v>0</v>
      </c>
      <c r="H140" s="67"/>
      <c r="I140" s="67"/>
      <c r="J140" s="67"/>
      <c r="K140" s="67"/>
      <c r="L140" s="67"/>
      <c r="M140" s="67"/>
      <c r="N140" s="67"/>
      <c r="O140" s="67"/>
      <c r="P140" s="67"/>
      <c r="Q140" s="67"/>
      <c r="R140" s="67"/>
      <c r="S140" s="67"/>
    </row>
    <row r="141" spans="1:19">
      <c r="A141" s="54" t="s">
        <v>200</v>
      </c>
      <c r="B141" s="67">
        <f>(SUMIFS('Safeguard facility data'!BB$4:BB$312,'Safeguard facility data'!$Q$4:$Q$312,$A141,'Safeguard facility data'!BB$4:BB$312,"&gt;0"))-(SUMIFS('Safeguard facility data'!BI$4:BI$312,'Safeguard facility data'!$Q$4:$Q$312,$A141,'Safeguard facility data'!BI$4:BI$312,"&gt;0"))</f>
        <v>0</v>
      </c>
      <c r="C141" s="67">
        <f>(SUMIFS('Safeguard facility data'!BC$4:BC$312,'Safeguard facility data'!$Q$4:$Q$312,$A141,'Safeguard facility data'!BC$4:BC$312,"&gt;0"))-(SUMIFS('Safeguard facility data'!BJ$4:BJ$312,'Safeguard facility data'!$Q$4:$Q$312,$A141,'Safeguard facility data'!BJ$4:BJ$312,"&gt;0"))</f>
        <v>0</v>
      </c>
      <c r="D141" s="67">
        <f>(SUMIFS('Safeguard facility data'!BD$4:BD$312,'Safeguard facility data'!$Q$4:$Q$312,$A141,'Safeguard facility data'!BD$4:BD$312,"&gt;0"))-(SUMIFS('Safeguard facility data'!BK$4:BK$312,'Safeguard facility data'!$Q$4:$Q$312,$A141,'Safeguard facility data'!BK$4:BK$312,"&gt;0"))</f>
        <v>0</v>
      </c>
      <c r="E141" s="67">
        <f>(SUMIFS('Safeguard facility data'!BE$4:BE$312,'Safeguard facility data'!$Q$4:$Q$312,$A141,'Safeguard facility data'!BE$4:BE$312,"&gt;0"))-(SUMIFS('Safeguard facility data'!BL$4:BL$312,'Safeguard facility data'!$Q$4:$Q$312,$A141,'Safeguard facility data'!BL$4:BL$312,"&gt;0"))</f>
        <v>0</v>
      </c>
      <c r="F141" s="67">
        <f>(SUMIFS('Safeguard facility data'!BF$4:BF$312,'Safeguard facility data'!$Q$4:$Q$312,$A141,'Safeguard facility data'!BF$4:BF$312,"&gt;0"))-(SUMIFS('Safeguard facility data'!BM$4:BM$312,'Safeguard facility data'!$Q$4:$Q$312,$A141,'Safeguard facility data'!BM$4:BM$312,"&gt;0"))</f>
        <v>0</v>
      </c>
      <c r="G141" s="61">
        <f t="shared" si="6"/>
        <v>0</v>
      </c>
      <c r="H141" s="67"/>
      <c r="I141" s="67"/>
      <c r="J141" s="67"/>
      <c r="K141" s="67"/>
      <c r="L141" s="67"/>
      <c r="M141" s="67"/>
      <c r="N141" s="67"/>
      <c r="O141" s="67"/>
      <c r="P141" s="67"/>
      <c r="Q141" s="67"/>
      <c r="R141" s="67"/>
      <c r="S141" s="67"/>
    </row>
    <row r="142" spans="1:19">
      <c r="A142" s="54" t="s">
        <v>201</v>
      </c>
      <c r="B142" s="67">
        <f>(SUMIFS('Safeguard facility data'!BB$4:BB$312,'Safeguard facility data'!$Q$4:$Q$312,$A142,'Safeguard facility data'!BB$4:BB$312,"&gt;0"))-(SUMIFS('Safeguard facility data'!BI$4:BI$312,'Safeguard facility data'!$Q$4:$Q$312,$A142,'Safeguard facility data'!BI$4:BI$312,"&gt;0"))</f>
        <v>0</v>
      </c>
      <c r="C142" s="67">
        <f>(SUMIFS('Safeguard facility data'!BC$4:BC$312,'Safeguard facility data'!$Q$4:$Q$312,$A142,'Safeguard facility data'!BC$4:BC$312,"&gt;0"))-(SUMIFS('Safeguard facility data'!BJ$4:BJ$312,'Safeguard facility data'!$Q$4:$Q$312,$A142,'Safeguard facility data'!BJ$4:BJ$312,"&gt;0"))</f>
        <v>0</v>
      </c>
      <c r="D142" s="67">
        <f>(SUMIFS('Safeguard facility data'!BD$4:BD$312,'Safeguard facility data'!$Q$4:$Q$312,$A142,'Safeguard facility data'!BD$4:BD$312,"&gt;0"))-(SUMIFS('Safeguard facility data'!BK$4:BK$312,'Safeguard facility data'!$Q$4:$Q$312,$A142,'Safeguard facility data'!BK$4:BK$312,"&gt;0"))</f>
        <v>0</v>
      </c>
      <c r="E142" s="67">
        <f>(SUMIFS('Safeguard facility data'!BE$4:BE$312,'Safeguard facility data'!$Q$4:$Q$312,$A142,'Safeguard facility data'!BE$4:BE$312,"&gt;0"))-(SUMIFS('Safeguard facility data'!BL$4:BL$312,'Safeguard facility data'!$Q$4:$Q$312,$A142,'Safeguard facility data'!BL$4:BL$312,"&gt;0"))</f>
        <v>0</v>
      </c>
      <c r="F142" s="67">
        <f>(SUMIFS('Safeguard facility data'!BF$4:BF$312,'Safeguard facility data'!$Q$4:$Q$312,$A142,'Safeguard facility data'!BF$4:BF$312,"&gt;0"))-(SUMIFS('Safeguard facility data'!BM$4:BM$312,'Safeguard facility data'!$Q$4:$Q$312,$A142,'Safeguard facility data'!BM$4:BM$312,"&gt;0"))</f>
        <v>0</v>
      </c>
      <c r="G142" s="61">
        <f t="shared" si="6"/>
        <v>0</v>
      </c>
      <c r="H142" s="67"/>
      <c r="I142" s="67"/>
      <c r="J142" s="67"/>
      <c r="K142" s="67"/>
      <c r="L142" s="67"/>
      <c r="M142" s="67"/>
      <c r="N142" s="67"/>
      <c r="O142" s="67"/>
      <c r="P142" s="67"/>
      <c r="Q142" s="67"/>
      <c r="R142" s="67"/>
      <c r="S142" s="67"/>
    </row>
    <row r="143" spans="1:19">
      <c r="A143" s="54" t="s">
        <v>202</v>
      </c>
      <c r="B143" s="67">
        <f>(SUMIFS('Safeguard facility data'!BB$4:BB$312,'Safeguard facility data'!$Q$4:$Q$312,$A143,'Safeguard facility data'!BB$4:BB$312,"&gt;0"))-(SUMIFS('Safeguard facility data'!BI$4:BI$312,'Safeguard facility data'!$Q$4:$Q$312,$A143,'Safeguard facility data'!BI$4:BI$312,"&gt;0"))</f>
        <v>0</v>
      </c>
      <c r="C143" s="67">
        <f>(SUMIFS('Safeguard facility data'!BC$4:BC$312,'Safeguard facility data'!$Q$4:$Q$312,$A143,'Safeguard facility data'!BC$4:BC$312,"&gt;0"))-(SUMIFS('Safeguard facility data'!BJ$4:BJ$312,'Safeguard facility data'!$Q$4:$Q$312,$A143,'Safeguard facility data'!BJ$4:BJ$312,"&gt;0"))</f>
        <v>0</v>
      </c>
      <c r="D143" s="67">
        <f>(SUMIFS('Safeguard facility data'!BD$4:BD$312,'Safeguard facility data'!$Q$4:$Q$312,$A143,'Safeguard facility data'!BD$4:BD$312,"&gt;0"))-(SUMIFS('Safeguard facility data'!BK$4:BK$312,'Safeguard facility data'!$Q$4:$Q$312,$A143,'Safeguard facility data'!BK$4:BK$312,"&gt;0"))</f>
        <v>0</v>
      </c>
      <c r="E143" s="67">
        <f>(SUMIFS('Safeguard facility data'!BE$4:BE$312,'Safeguard facility data'!$Q$4:$Q$312,$A143,'Safeguard facility data'!BE$4:BE$312,"&gt;0"))-(SUMIFS('Safeguard facility data'!BL$4:BL$312,'Safeguard facility data'!$Q$4:$Q$312,$A143,'Safeguard facility data'!BL$4:BL$312,"&gt;0"))</f>
        <v>0</v>
      </c>
      <c r="F143" s="67">
        <f>(SUMIFS('Safeguard facility data'!BF$4:BF$312,'Safeguard facility data'!$Q$4:$Q$312,$A143,'Safeguard facility data'!BF$4:BF$312,"&gt;0"))-(SUMIFS('Safeguard facility data'!BM$4:BM$312,'Safeguard facility data'!$Q$4:$Q$312,$A143,'Safeguard facility data'!BM$4:BM$312,"&gt;0"))</f>
        <v>0</v>
      </c>
      <c r="G143" s="61">
        <f t="shared" si="6"/>
        <v>0</v>
      </c>
      <c r="H143" s="67"/>
      <c r="I143" s="67"/>
      <c r="J143" s="67"/>
      <c r="K143" s="67"/>
      <c r="L143" s="67"/>
      <c r="M143" s="67"/>
      <c r="N143" s="67"/>
      <c r="O143" s="67"/>
      <c r="P143" s="67"/>
      <c r="Q143" s="67"/>
      <c r="R143" s="67"/>
      <c r="S143" s="67"/>
    </row>
    <row r="144" spans="1:19">
      <c r="A144" s="54" t="s">
        <v>100</v>
      </c>
      <c r="B144" s="67">
        <f>(SUMIFS('Safeguard facility data'!BB$4:BB$312,'Safeguard facility data'!$Q$4:$Q$312,$A144,'Safeguard facility data'!BB$4:BB$312,"&gt;0"))-(SUMIFS('Safeguard facility data'!BI$4:BI$312,'Safeguard facility data'!$Q$4:$Q$312,$A144,'Safeguard facility data'!BI$4:BI$312,"&gt;0"))</f>
        <v>0</v>
      </c>
      <c r="C144" s="67">
        <f>(SUMIFS('Safeguard facility data'!BC$4:BC$312,'Safeguard facility data'!$Q$4:$Q$312,$A144,'Safeguard facility data'!BC$4:BC$312,"&gt;0"))-(SUMIFS('Safeguard facility data'!BJ$4:BJ$312,'Safeguard facility data'!$Q$4:$Q$312,$A144,'Safeguard facility data'!BJ$4:BJ$312,"&gt;0"))</f>
        <v>0</v>
      </c>
      <c r="D144" s="67">
        <f>(SUMIFS('Safeguard facility data'!BD$4:BD$312,'Safeguard facility data'!$Q$4:$Q$312,$A144,'Safeguard facility data'!BD$4:BD$312,"&gt;0"))-(SUMIFS('Safeguard facility data'!BK$4:BK$312,'Safeguard facility data'!$Q$4:$Q$312,$A144,'Safeguard facility data'!BK$4:BK$312,"&gt;0"))</f>
        <v>0</v>
      </c>
      <c r="E144" s="67">
        <f>(SUMIFS('Safeguard facility data'!BE$4:BE$312,'Safeguard facility data'!$Q$4:$Q$312,$A144,'Safeguard facility data'!BE$4:BE$312,"&gt;0"))-(SUMIFS('Safeguard facility data'!BL$4:BL$312,'Safeguard facility data'!$Q$4:$Q$312,$A144,'Safeguard facility data'!BL$4:BL$312,"&gt;0"))</f>
        <v>0</v>
      </c>
      <c r="F144" s="67">
        <f>(SUMIFS('Safeguard facility data'!BF$4:BF$312,'Safeguard facility data'!$Q$4:$Q$312,$A144,'Safeguard facility data'!BF$4:BF$312,"&gt;0"))-(SUMIFS('Safeguard facility data'!BM$4:BM$312,'Safeguard facility data'!$Q$4:$Q$312,$A144,'Safeguard facility data'!BM$4:BM$312,"&gt;0"))</f>
        <v>0</v>
      </c>
      <c r="G144" s="61">
        <f t="shared" si="6"/>
        <v>0</v>
      </c>
      <c r="H144" s="67"/>
      <c r="I144" s="67"/>
      <c r="J144" s="67"/>
      <c r="K144" s="67"/>
      <c r="L144" s="67"/>
      <c r="M144" s="67"/>
      <c r="N144" s="67"/>
      <c r="O144" s="67"/>
      <c r="P144" s="67"/>
      <c r="Q144" s="67"/>
      <c r="R144" s="67"/>
      <c r="S144" s="67"/>
    </row>
    <row r="145" spans="1:19">
      <c r="A145" s="54" t="s">
        <v>103</v>
      </c>
      <c r="B145" s="67">
        <f>(SUMIFS('Safeguard facility data'!BB$4:BB$312,'Safeguard facility data'!$Q$4:$Q$312,$A145,'Safeguard facility data'!BB$4:BB$312,"&gt;0"))-(SUMIFS('Safeguard facility data'!BI$4:BI$312,'Safeguard facility data'!$Q$4:$Q$312,$A145,'Safeguard facility data'!BI$4:BI$312,"&gt;0"))</f>
        <v>0</v>
      </c>
      <c r="C145" s="67">
        <f>(SUMIFS('Safeguard facility data'!BC$4:BC$312,'Safeguard facility data'!$Q$4:$Q$312,$A145,'Safeguard facility data'!BC$4:BC$312,"&gt;0"))-(SUMIFS('Safeguard facility data'!BJ$4:BJ$312,'Safeguard facility data'!$Q$4:$Q$312,$A145,'Safeguard facility data'!BJ$4:BJ$312,"&gt;0"))</f>
        <v>0</v>
      </c>
      <c r="D145" s="67">
        <f>(SUMIFS('Safeguard facility data'!BD$4:BD$312,'Safeguard facility data'!$Q$4:$Q$312,$A145,'Safeguard facility data'!BD$4:BD$312,"&gt;0"))-(SUMIFS('Safeguard facility data'!BK$4:BK$312,'Safeguard facility data'!$Q$4:$Q$312,$A145,'Safeguard facility data'!BK$4:BK$312,"&gt;0"))</f>
        <v>0</v>
      </c>
      <c r="E145" s="67">
        <f>(SUMIFS('Safeguard facility data'!BE$4:BE$312,'Safeguard facility data'!$Q$4:$Q$312,$A145,'Safeguard facility data'!BE$4:BE$312,"&gt;0"))-(SUMIFS('Safeguard facility data'!BL$4:BL$312,'Safeguard facility data'!$Q$4:$Q$312,$A145,'Safeguard facility data'!BL$4:BL$312,"&gt;0"))</f>
        <v>0</v>
      </c>
      <c r="F145" s="67">
        <f>(SUMIFS('Safeguard facility data'!BF$4:BF$312,'Safeguard facility data'!$Q$4:$Q$312,$A145,'Safeguard facility data'!BF$4:BF$312,"&gt;0"))-(SUMIFS('Safeguard facility data'!BM$4:BM$312,'Safeguard facility data'!$Q$4:$Q$312,$A145,'Safeguard facility data'!BM$4:BM$312,"&gt;0"))</f>
        <v>0</v>
      </c>
      <c r="G145" s="61">
        <f t="shared" si="6"/>
        <v>0</v>
      </c>
      <c r="H145" s="67"/>
      <c r="I145" s="67"/>
      <c r="J145" s="67"/>
      <c r="K145" s="67"/>
      <c r="L145" s="67"/>
      <c r="M145" s="67"/>
      <c r="N145" s="67"/>
      <c r="O145" s="67"/>
      <c r="P145" s="67"/>
      <c r="Q145" s="67"/>
      <c r="R145" s="67"/>
      <c r="S145" s="67"/>
    </row>
    <row r="146" spans="1:19">
      <c r="A146" s="54" t="s">
        <v>105</v>
      </c>
      <c r="B146" s="67">
        <f>(SUMIFS('Safeguard facility data'!BB$4:BB$312,'Safeguard facility data'!$Q$4:$Q$312,$A146,'Safeguard facility data'!BB$4:BB$312,"&gt;0"))-(SUMIFS('Safeguard facility data'!BI$4:BI$312,'Safeguard facility data'!$Q$4:$Q$312,$A146,'Safeguard facility data'!BI$4:BI$312,"&gt;0"))</f>
        <v>0</v>
      </c>
      <c r="C146" s="67">
        <f>(SUMIFS('Safeguard facility data'!BC$4:BC$312,'Safeguard facility data'!$Q$4:$Q$312,$A146,'Safeguard facility data'!BC$4:BC$312,"&gt;0"))-(SUMIFS('Safeguard facility data'!BJ$4:BJ$312,'Safeguard facility data'!$Q$4:$Q$312,$A146,'Safeguard facility data'!BJ$4:BJ$312,"&gt;0"))</f>
        <v>0</v>
      </c>
      <c r="D146" s="67">
        <f>(SUMIFS('Safeguard facility data'!BD$4:BD$312,'Safeguard facility data'!$Q$4:$Q$312,$A146,'Safeguard facility data'!BD$4:BD$312,"&gt;0"))-(SUMIFS('Safeguard facility data'!BK$4:BK$312,'Safeguard facility data'!$Q$4:$Q$312,$A146,'Safeguard facility data'!BK$4:BK$312,"&gt;0"))</f>
        <v>0</v>
      </c>
      <c r="E146" s="67">
        <f>(SUMIFS('Safeguard facility data'!BE$4:BE$312,'Safeguard facility data'!$Q$4:$Q$312,$A146,'Safeguard facility data'!BE$4:BE$312,"&gt;0"))-(SUMIFS('Safeguard facility data'!BL$4:BL$312,'Safeguard facility data'!$Q$4:$Q$312,$A146,'Safeguard facility data'!BL$4:BL$312,"&gt;0"))</f>
        <v>0</v>
      </c>
      <c r="F146" s="67">
        <f>(SUMIFS('Safeguard facility data'!BF$4:BF$312,'Safeguard facility data'!$Q$4:$Q$312,$A146,'Safeguard facility data'!BF$4:BF$312,"&gt;0"))-(SUMIFS('Safeguard facility data'!BM$4:BM$312,'Safeguard facility data'!$Q$4:$Q$312,$A146,'Safeguard facility data'!BM$4:BM$312,"&gt;0"))</f>
        <v>0</v>
      </c>
      <c r="G146" s="61">
        <f t="shared" si="6"/>
        <v>0</v>
      </c>
      <c r="H146" s="67"/>
      <c r="I146" s="67"/>
      <c r="J146" s="67"/>
      <c r="K146" s="67"/>
      <c r="L146" s="67"/>
      <c r="M146" s="67"/>
      <c r="N146" s="67"/>
      <c r="O146" s="67"/>
      <c r="P146" s="67"/>
      <c r="Q146" s="67"/>
      <c r="R146" s="67"/>
      <c r="S146" s="67"/>
    </row>
    <row r="147" spans="1:19">
      <c r="A147" s="54" t="s">
        <v>203</v>
      </c>
      <c r="B147" s="67">
        <f>(SUMIFS('Safeguard facility data'!BB$4:BB$312,'Safeguard facility data'!$Q$4:$Q$312,$A147,'Safeguard facility data'!BB$4:BB$312,"&gt;0"))-(SUMIFS('Safeguard facility data'!BI$4:BI$312,'Safeguard facility data'!$Q$4:$Q$312,$A147,'Safeguard facility data'!BI$4:BI$312,"&gt;0"))</f>
        <v>0</v>
      </c>
      <c r="C147" s="67">
        <f>(SUMIFS('Safeguard facility data'!BC$4:BC$312,'Safeguard facility data'!$Q$4:$Q$312,$A147,'Safeguard facility data'!BC$4:BC$312,"&gt;0"))-(SUMIFS('Safeguard facility data'!BJ$4:BJ$312,'Safeguard facility data'!$Q$4:$Q$312,$A147,'Safeguard facility data'!BJ$4:BJ$312,"&gt;0"))</f>
        <v>0</v>
      </c>
      <c r="D147" s="67">
        <f>(SUMIFS('Safeguard facility data'!BD$4:BD$312,'Safeguard facility data'!$Q$4:$Q$312,$A147,'Safeguard facility data'!BD$4:BD$312,"&gt;0"))-(SUMIFS('Safeguard facility data'!BK$4:BK$312,'Safeguard facility data'!$Q$4:$Q$312,$A147,'Safeguard facility data'!BK$4:BK$312,"&gt;0"))</f>
        <v>0</v>
      </c>
      <c r="E147" s="67">
        <f>(SUMIFS('Safeguard facility data'!BE$4:BE$312,'Safeguard facility data'!$Q$4:$Q$312,$A147,'Safeguard facility data'!BE$4:BE$312,"&gt;0"))-(SUMIFS('Safeguard facility data'!BL$4:BL$312,'Safeguard facility data'!$Q$4:$Q$312,$A147,'Safeguard facility data'!BL$4:BL$312,"&gt;0"))</f>
        <v>0</v>
      </c>
      <c r="F147" s="67">
        <f>(SUMIFS('Safeguard facility data'!BF$4:BF$312,'Safeguard facility data'!$Q$4:$Q$312,$A147,'Safeguard facility data'!BF$4:BF$312,"&gt;0"))-(SUMIFS('Safeguard facility data'!BM$4:BM$312,'Safeguard facility data'!$Q$4:$Q$312,$A147,'Safeguard facility data'!BM$4:BM$312,"&gt;0"))</f>
        <v>0</v>
      </c>
      <c r="G147" s="61">
        <f t="shared" si="6"/>
        <v>0</v>
      </c>
      <c r="H147" s="67"/>
      <c r="I147" s="67"/>
      <c r="J147" s="67"/>
      <c r="K147" s="67"/>
      <c r="L147" s="67"/>
      <c r="M147" s="67"/>
      <c r="N147" s="67"/>
      <c r="O147" s="67"/>
      <c r="P147" s="67"/>
      <c r="Q147" s="67"/>
      <c r="R147" s="67"/>
      <c r="S147" s="67"/>
    </row>
    <row r="148" spans="1:19">
      <c r="A148" s="54" t="s">
        <v>251</v>
      </c>
      <c r="B148" s="67">
        <f>(SUMIFS('Safeguard facility data'!BB$4:BB$312,'Safeguard facility data'!$Q$4:$Q$312,$A148,'Safeguard facility data'!BB$4:BB$312,"&gt;0"))-(SUMIFS('Safeguard facility data'!BI$4:BI$312,'Safeguard facility data'!$Q$4:$Q$312,$A148,'Safeguard facility data'!BI$4:BI$312,"&gt;0"))</f>
        <v>0</v>
      </c>
      <c r="C148" s="67">
        <f>(SUMIFS('Safeguard facility data'!BC$4:BC$312,'Safeguard facility data'!$Q$4:$Q$312,$A148,'Safeguard facility data'!BC$4:BC$312,"&gt;0"))-(SUMIFS('Safeguard facility data'!BJ$4:BJ$312,'Safeguard facility data'!$Q$4:$Q$312,$A148,'Safeguard facility data'!BJ$4:BJ$312,"&gt;0"))</f>
        <v>0</v>
      </c>
      <c r="D148" s="67">
        <f>(SUMIFS('Safeguard facility data'!BD$4:BD$312,'Safeguard facility data'!$Q$4:$Q$312,$A148,'Safeguard facility data'!BD$4:BD$312,"&gt;0"))-(SUMIFS('Safeguard facility data'!BK$4:BK$312,'Safeguard facility data'!$Q$4:$Q$312,$A148,'Safeguard facility data'!BK$4:BK$312,"&gt;0"))</f>
        <v>0</v>
      </c>
      <c r="E148" s="67">
        <f>(SUMIFS('Safeguard facility data'!BE$4:BE$312,'Safeguard facility data'!$Q$4:$Q$312,$A148,'Safeguard facility data'!BE$4:BE$312,"&gt;0"))-(SUMIFS('Safeguard facility data'!BL$4:BL$312,'Safeguard facility data'!$Q$4:$Q$312,$A148,'Safeguard facility data'!BL$4:BL$312,"&gt;0"))</f>
        <v>0</v>
      </c>
      <c r="F148" s="67">
        <f>(SUMIFS('Safeguard facility data'!BF$4:BF$312,'Safeguard facility data'!$Q$4:$Q$312,$A148,'Safeguard facility data'!BF$4:BF$312,"&gt;0"))-(SUMIFS('Safeguard facility data'!BM$4:BM$312,'Safeguard facility data'!$Q$4:$Q$312,$A148,'Safeguard facility data'!BM$4:BM$312,"&gt;0"))</f>
        <v>0</v>
      </c>
      <c r="G148" s="61">
        <f t="shared" si="6"/>
        <v>0</v>
      </c>
      <c r="H148" s="67"/>
      <c r="I148" s="67"/>
      <c r="J148" s="67"/>
      <c r="K148" s="67"/>
      <c r="L148" s="67"/>
      <c r="M148" s="67"/>
      <c r="N148" s="67"/>
      <c r="O148" s="67"/>
      <c r="P148" s="67"/>
      <c r="Q148" s="67"/>
      <c r="R148" s="67"/>
      <c r="S148" s="67"/>
    </row>
    <row r="149" spans="1:19">
      <c r="A149" s="54" t="s">
        <v>252</v>
      </c>
      <c r="B149" s="67">
        <f>(SUMIFS('Safeguard facility data'!BB$4:BB$312,'Safeguard facility data'!$Q$4:$Q$312,$A149,'Safeguard facility data'!BB$4:BB$312,"&gt;0"))-(SUMIFS('Safeguard facility data'!BI$4:BI$312,'Safeguard facility data'!$Q$4:$Q$312,$A149,'Safeguard facility data'!BI$4:BI$312,"&gt;0"))</f>
        <v>0</v>
      </c>
      <c r="C149" s="67">
        <f>(SUMIFS('Safeguard facility data'!BC$4:BC$312,'Safeguard facility data'!$Q$4:$Q$312,$A149,'Safeguard facility data'!BC$4:BC$312,"&gt;0"))-(SUMIFS('Safeguard facility data'!BJ$4:BJ$312,'Safeguard facility data'!$Q$4:$Q$312,$A149,'Safeguard facility data'!BJ$4:BJ$312,"&gt;0"))</f>
        <v>0</v>
      </c>
      <c r="D149" s="67">
        <f>(SUMIFS('Safeguard facility data'!BD$4:BD$312,'Safeguard facility data'!$Q$4:$Q$312,$A149,'Safeguard facility data'!BD$4:BD$312,"&gt;0"))-(SUMIFS('Safeguard facility data'!BK$4:BK$312,'Safeguard facility data'!$Q$4:$Q$312,$A149,'Safeguard facility data'!BK$4:BK$312,"&gt;0"))</f>
        <v>0</v>
      </c>
      <c r="E149" s="67">
        <f>(SUMIFS('Safeguard facility data'!BE$4:BE$312,'Safeguard facility data'!$Q$4:$Q$312,$A149,'Safeguard facility data'!BE$4:BE$312,"&gt;0"))-(SUMIFS('Safeguard facility data'!BL$4:BL$312,'Safeguard facility data'!$Q$4:$Q$312,$A149,'Safeguard facility data'!BL$4:BL$312,"&gt;0"))</f>
        <v>0</v>
      </c>
      <c r="F149" s="67">
        <f>(SUMIFS('Safeguard facility data'!BF$4:BF$312,'Safeguard facility data'!$Q$4:$Q$312,$A149,'Safeguard facility data'!BF$4:BF$312,"&gt;0"))-(SUMIFS('Safeguard facility data'!BM$4:BM$312,'Safeguard facility data'!$Q$4:$Q$312,$A149,'Safeguard facility data'!BM$4:BM$312,"&gt;0"))</f>
        <v>0</v>
      </c>
      <c r="G149" s="61">
        <f t="shared" si="6"/>
        <v>0</v>
      </c>
      <c r="H149" s="67"/>
      <c r="I149" s="67"/>
      <c r="J149" s="67"/>
      <c r="K149" s="67"/>
      <c r="L149" s="67"/>
      <c r="M149" s="67"/>
      <c r="N149" s="67"/>
      <c r="O149" s="67"/>
      <c r="P149" s="67"/>
      <c r="Q149" s="67"/>
      <c r="R149" s="67"/>
      <c r="S149" s="67"/>
    </row>
    <row r="150" spans="1:19">
      <c r="A150" s="54" t="s">
        <v>205</v>
      </c>
      <c r="B150" s="67">
        <f>(SUMIFS('Safeguard facility data'!BB$4:BB$312,'Safeguard facility data'!$Q$4:$Q$312,$A150,'Safeguard facility data'!BB$4:BB$312,"&gt;0"))-(SUMIFS('Safeguard facility data'!BI$4:BI$312,'Safeguard facility data'!$Q$4:$Q$312,$A150,'Safeguard facility data'!BI$4:BI$312,"&gt;0"))</f>
        <v>0</v>
      </c>
      <c r="C150" s="67">
        <f>(SUMIFS('Safeguard facility data'!BC$4:BC$312,'Safeguard facility data'!$Q$4:$Q$312,$A150,'Safeguard facility data'!BC$4:BC$312,"&gt;0"))-(SUMIFS('Safeguard facility data'!BJ$4:BJ$312,'Safeguard facility data'!$Q$4:$Q$312,$A150,'Safeguard facility data'!BJ$4:BJ$312,"&gt;0"))</f>
        <v>0</v>
      </c>
      <c r="D150" s="67">
        <f>(SUMIFS('Safeguard facility data'!BD$4:BD$312,'Safeguard facility data'!$Q$4:$Q$312,$A150,'Safeguard facility data'!BD$4:BD$312,"&gt;0"))-(SUMIFS('Safeguard facility data'!BK$4:BK$312,'Safeguard facility data'!$Q$4:$Q$312,$A150,'Safeguard facility data'!BK$4:BK$312,"&gt;0"))</f>
        <v>0</v>
      </c>
      <c r="E150" s="67">
        <f>(SUMIFS('Safeguard facility data'!BE$4:BE$312,'Safeguard facility data'!$Q$4:$Q$312,$A150,'Safeguard facility data'!BE$4:BE$312,"&gt;0"))-(SUMIFS('Safeguard facility data'!BL$4:BL$312,'Safeguard facility data'!$Q$4:$Q$312,$A150,'Safeguard facility data'!BL$4:BL$312,"&gt;0"))</f>
        <v>0</v>
      </c>
      <c r="F150" s="67">
        <f>(SUMIFS('Safeguard facility data'!BF$4:BF$312,'Safeguard facility data'!$Q$4:$Q$312,$A150,'Safeguard facility data'!BF$4:BF$312,"&gt;0"))-(SUMIFS('Safeguard facility data'!BM$4:BM$312,'Safeguard facility data'!$Q$4:$Q$312,$A150,'Safeguard facility data'!BM$4:BM$312,"&gt;0"))</f>
        <v>0</v>
      </c>
      <c r="G150" s="61">
        <f t="shared" si="6"/>
        <v>0</v>
      </c>
      <c r="H150" s="67"/>
      <c r="I150" s="67"/>
      <c r="J150" s="67"/>
      <c r="K150" s="67"/>
      <c r="L150" s="67"/>
      <c r="M150" s="67"/>
      <c r="N150" s="67"/>
      <c r="O150" s="67"/>
      <c r="P150" s="67"/>
      <c r="Q150" s="67"/>
      <c r="R150" s="67"/>
      <c r="S150" s="67"/>
    </row>
    <row r="151" spans="1:19">
      <c r="A151" s="54" t="s">
        <v>84</v>
      </c>
      <c r="B151" s="67">
        <f>(SUMIFS('Safeguard facility data'!BB$4:BB$312,'Safeguard facility data'!$Q$4:$Q$312,$A151,'Safeguard facility data'!BB$4:BB$312,"&gt;0"))-(SUMIFS('Safeguard facility data'!BI$4:BI$312,'Safeguard facility data'!$Q$4:$Q$312,$A151,'Safeguard facility data'!BI$4:BI$312,"&gt;0"))</f>
        <v>0</v>
      </c>
      <c r="C151" s="67">
        <f>(SUMIFS('Safeguard facility data'!BC$4:BC$312,'Safeguard facility data'!$Q$4:$Q$312,$A151,'Safeguard facility data'!BC$4:BC$312,"&gt;0"))-(SUMIFS('Safeguard facility data'!BJ$4:BJ$312,'Safeguard facility data'!$Q$4:$Q$312,$A151,'Safeguard facility data'!BJ$4:BJ$312,"&gt;0"))</f>
        <v>0</v>
      </c>
      <c r="D151" s="67">
        <f>(SUMIFS('Safeguard facility data'!BD$4:BD$312,'Safeguard facility data'!$Q$4:$Q$312,$A151,'Safeguard facility data'!BD$4:BD$312,"&gt;0"))-(SUMIFS('Safeguard facility data'!BK$4:BK$312,'Safeguard facility data'!$Q$4:$Q$312,$A151,'Safeguard facility data'!BK$4:BK$312,"&gt;0"))</f>
        <v>0</v>
      </c>
      <c r="E151" s="67">
        <f>(SUMIFS('Safeguard facility data'!BE$4:BE$312,'Safeguard facility data'!$Q$4:$Q$312,$A151,'Safeguard facility data'!BE$4:BE$312,"&gt;0"))-(SUMIFS('Safeguard facility data'!BL$4:BL$312,'Safeguard facility data'!$Q$4:$Q$312,$A151,'Safeguard facility data'!BL$4:BL$312,"&gt;0"))</f>
        <v>0</v>
      </c>
      <c r="F151" s="67">
        <f>(SUMIFS('Safeguard facility data'!BF$4:BF$312,'Safeguard facility data'!$Q$4:$Q$312,$A151,'Safeguard facility data'!BF$4:BF$312,"&gt;0"))-(SUMIFS('Safeguard facility data'!BM$4:BM$312,'Safeguard facility data'!$Q$4:$Q$312,$A151,'Safeguard facility data'!BM$4:BM$312,"&gt;0"))</f>
        <v>0</v>
      </c>
      <c r="G151" s="61">
        <f t="shared" si="6"/>
        <v>0</v>
      </c>
      <c r="H151" s="67"/>
      <c r="I151" s="67"/>
      <c r="J151" s="67"/>
      <c r="K151" s="67"/>
      <c r="L151" s="67"/>
      <c r="M151" s="67"/>
      <c r="N151" s="67"/>
      <c r="O151" s="67"/>
      <c r="P151" s="67"/>
      <c r="Q151" s="67"/>
      <c r="R151" s="67"/>
      <c r="S151" s="67"/>
    </row>
    <row r="152" spans="1:19">
      <c r="A152" s="54" t="s">
        <v>206</v>
      </c>
      <c r="B152" s="67">
        <f>(SUMIFS('Safeguard facility data'!BB$4:BB$312,'Safeguard facility data'!$Q$4:$Q$312,$A152,'Safeguard facility data'!BB$4:BB$312,"&gt;0"))-(SUMIFS('Safeguard facility data'!BI$4:BI$312,'Safeguard facility data'!$Q$4:$Q$312,$A152,'Safeguard facility data'!BI$4:BI$312,"&gt;0"))</f>
        <v>0</v>
      </c>
      <c r="C152" s="67">
        <f>(SUMIFS('Safeguard facility data'!BC$4:BC$312,'Safeguard facility data'!$Q$4:$Q$312,$A152,'Safeguard facility data'!BC$4:BC$312,"&gt;0"))-(SUMIFS('Safeguard facility data'!BJ$4:BJ$312,'Safeguard facility data'!$Q$4:$Q$312,$A152,'Safeguard facility data'!BJ$4:BJ$312,"&gt;0"))</f>
        <v>0</v>
      </c>
      <c r="D152" s="67">
        <f>(SUMIFS('Safeguard facility data'!BD$4:BD$312,'Safeguard facility data'!$Q$4:$Q$312,$A152,'Safeguard facility data'!BD$4:BD$312,"&gt;0"))-(SUMIFS('Safeguard facility data'!BK$4:BK$312,'Safeguard facility data'!$Q$4:$Q$312,$A152,'Safeguard facility data'!BK$4:BK$312,"&gt;0"))</f>
        <v>0</v>
      </c>
      <c r="E152" s="67">
        <f>(SUMIFS('Safeguard facility data'!BE$4:BE$312,'Safeguard facility data'!$Q$4:$Q$312,$A152,'Safeguard facility data'!BE$4:BE$312,"&gt;0"))-(SUMIFS('Safeguard facility data'!BL$4:BL$312,'Safeguard facility data'!$Q$4:$Q$312,$A152,'Safeguard facility data'!BL$4:BL$312,"&gt;0"))</f>
        <v>0</v>
      </c>
      <c r="F152" s="67">
        <f>(SUMIFS('Safeguard facility data'!BF$4:BF$312,'Safeguard facility data'!$Q$4:$Q$312,$A152,'Safeguard facility data'!BF$4:BF$312,"&gt;0"))-(SUMIFS('Safeguard facility data'!BM$4:BM$312,'Safeguard facility data'!$Q$4:$Q$312,$A152,'Safeguard facility data'!BM$4:BM$312,"&gt;0"))</f>
        <v>0</v>
      </c>
      <c r="G152" s="61">
        <f t="shared" si="6"/>
        <v>0</v>
      </c>
      <c r="H152" s="67"/>
      <c r="I152" s="67"/>
      <c r="J152" s="67"/>
      <c r="K152" s="67"/>
      <c r="L152" s="67"/>
      <c r="M152" s="67"/>
      <c r="N152" s="67"/>
      <c r="O152" s="67"/>
      <c r="P152" s="67"/>
      <c r="Q152" s="67"/>
      <c r="R152" s="67"/>
      <c r="S152" s="67"/>
    </row>
    <row r="153" spans="1:19">
      <c r="A153" s="54" t="s">
        <v>207</v>
      </c>
      <c r="B153" s="67">
        <f>(SUMIFS('Safeguard facility data'!BB$4:BB$312,'Safeguard facility data'!$Q$4:$Q$312,$A153,'Safeguard facility data'!BB$4:BB$312,"&gt;0"))-(SUMIFS('Safeguard facility data'!BI$4:BI$312,'Safeguard facility data'!$Q$4:$Q$312,$A153,'Safeguard facility data'!BI$4:BI$312,"&gt;0"))</f>
        <v>0</v>
      </c>
      <c r="C153" s="67">
        <f>(SUMIFS('Safeguard facility data'!BC$4:BC$312,'Safeguard facility data'!$Q$4:$Q$312,$A153,'Safeguard facility data'!BC$4:BC$312,"&gt;0"))-(SUMIFS('Safeguard facility data'!BJ$4:BJ$312,'Safeguard facility data'!$Q$4:$Q$312,$A153,'Safeguard facility data'!BJ$4:BJ$312,"&gt;0"))</f>
        <v>0</v>
      </c>
      <c r="D153" s="67">
        <f>(SUMIFS('Safeguard facility data'!BD$4:BD$312,'Safeguard facility data'!$Q$4:$Q$312,$A153,'Safeguard facility data'!BD$4:BD$312,"&gt;0"))-(SUMIFS('Safeguard facility data'!BK$4:BK$312,'Safeguard facility data'!$Q$4:$Q$312,$A153,'Safeguard facility data'!BK$4:BK$312,"&gt;0"))</f>
        <v>0</v>
      </c>
      <c r="E153" s="67">
        <f>(SUMIFS('Safeguard facility data'!BE$4:BE$312,'Safeguard facility data'!$Q$4:$Q$312,$A153,'Safeguard facility data'!BE$4:BE$312,"&gt;0"))-(SUMIFS('Safeguard facility data'!BL$4:BL$312,'Safeguard facility data'!$Q$4:$Q$312,$A153,'Safeguard facility data'!BL$4:BL$312,"&gt;0"))</f>
        <v>0</v>
      </c>
      <c r="F153" s="67">
        <f>(SUMIFS('Safeguard facility data'!BF$4:BF$312,'Safeguard facility data'!$Q$4:$Q$312,$A153,'Safeguard facility data'!BF$4:BF$312,"&gt;0"))-(SUMIFS('Safeguard facility data'!BM$4:BM$312,'Safeguard facility data'!$Q$4:$Q$312,$A153,'Safeguard facility data'!BM$4:BM$312,"&gt;0"))</f>
        <v>0</v>
      </c>
      <c r="G153" s="61">
        <f t="shared" si="6"/>
        <v>0</v>
      </c>
      <c r="H153" s="67"/>
      <c r="I153" s="67"/>
      <c r="J153" s="67"/>
      <c r="K153" s="67"/>
      <c r="L153" s="67"/>
      <c r="M153" s="67"/>
      <c r="N153" s="67"/>
      <c r="O153" s="67"/>
      <c r="P153" s="67"/>
      <c r="Q153" s="67"/>
      <c r="R153" s="67"/>
      <c r="S153" s="67"/>
    </row>
    <row r="154" spans="1:19">
      <c r="A154" s="54" t="s">
        <v>253</v>
      </c>
      <c r="B154" s="67">
        <f>(SUMIFS('Safeguard facility data'!BB$4:BB$312,'Safeguard facility data'!$Q$4:$Q$312,$A154,'Safeguard facility data'!BB$4:BB$312,"&gt;0"))-(SUMIFS('Safeguard facility data'!BI$4:BI$312,'Safeguard facility data'!$Q$4:$Q$312,$A154,'Safeguard facility data'!BI$4:BI$312,"&gt;0"))</f>
        <v>0</v>
      </c>
      <c r="C154" s="67">
        <f>(SUMIFS('Safeguard facility data'!BC$4:BC$312,'Safeguard facility data'!$Q$4:$Q$312,$A154,'Safeguard facility data'!BC$4:BC$312,"&gt;0"))-(SUMIFS('Safeguard facility data'!BJ$4:BJ$312,'Safeguard facility data'!$Q$4:$Q$312,$A154,'Safeguard facility data'!BJ$4:BJ$312,"&gt;0"))</f>
        <v>0</v>
      </c>
      <c r="D154" s="67">
        <f>(SUMIFS('Safeguard facility data'!BD$4:BD$312,'Safeguard facility data'!$Q$4:$Q$312,$A154,'Safeguard facility data'!BD$4:BD$312,"&gt;0"))-(SUMIFS('Safeguard facility data'!BK$4:BK$312,'Safeguard facility data'!$Q$4:$Q$312,$A154,'Safeguard facility data'!BK$4:BK$312,"&gt;0"))</f>
        <v>0</v>
      </c>
      <c r="E154" s="67">
        <f>(SUMIFS('Safeguard facility data'!BE$4:BE$312,'Safeguard facility data'!$Q$4:$Q$312,$A154,'Safeguard facility data'!BE$4:BE$312,"&gt;0"))-(SUMIFS('Safeguard facility data'!BL$4:BL$312,'Safeguard facility data'!$Q$4:$Q$312,$A154,'Safeguard facility data'!BL$4:BL$312,"&gt;0"))</f>
        <v>0</v>
      </c>
      <c r="F154" s="67">
        <f>(SUMIFS('Safeguard facility data'!BF$4:BF$312,'Safeguard facility data'!$Q$4:$Q$312,$A154,'Safeguard facility data'!BF$4:BF$312,"&gt;0"))-(SUMIFS('Safeguard facility data'!BM$4:BM$312,'Safeguard facility data'!$Q$4:$Q$312,$A154,'Safeguard facility data'!BM$4:BM$312,"&gt;0"))</f>
        <v>0</v>
      </c>
      <c r="G154" s="61">
        <f t="shared" si="6"/>
        <v>0</v>
      </c>
      <c r="H154" s="67"/>
      <c r="I154" s="67"/>
      <c r="J154" s="67"/>
      <c r="K154" s="67"/>
      <c r="L154" s="67"/>
      <c r="M154" s="67"/>
      <c r="N154" s="67"/>
      <c r="O154" s="67"/>
      <c r="P154" s="67"/>
      <c r="Q154" s="67"/>
      <c r="R154" s="67"/>
      <c r="S154" s="67"/>
    </row>
    <row r="155" spans="1:19">
      <c r="A155" s="54" t="s">
        <v>254</v>
      </c>
      <c r="B155" s="67">
        <f>(SUMIFS('Safeguard facility data'!BB$4:BB$312,'Safeguard facility data'!$Q$4:$Q$312,$A155,'Safeguard facility data'!BB$4:BB$312,"&gt;0"))-(SUMIFS('Safeguard facility data'!BI$4:BI$312,'Safeguard facility data'!$Q$4:$Q$312,$A155,'Safeguard facility data'!BI$4:BI$312,"&gt;0"))</f>
        <v>0</v>
      </c>
      <c r="C155" s="67">
        <f>(SUMIFS('Safeguard facility data'!BC$4:BC$312,'Safeguard facility data'!$Q$4:$Q$312,$A155,'Safeguard facility data'!BC$4:BC$312,"&gt;0"))-(SUMIFS('Safeguard facility data'!BJ$4:BJ$312,'Safeguard facility data'!$Q$4:$Q$312,$A155,'Safeguard facility data'!BJ$4:BJ$312,"&gt;0"))</f>
        <v>0</v>
      </c>
      <c r="D155" s="67">
        <f>(SUMIFS('Safeguard facility data'!BD$4:BD$312,'Safeguard facility data'!$Q$4:$Q$312,$A155,'Safeguard facility data'!BD$4:BD$312,"&gt;0"))-(SUMIFS('Safeguard facility data'!BK$4:BK$312,'Safeguard facility data'!$Q$4:$Q$312,$A155,'Safeguard facility data'!BK$4:BK$312,"&gt;0"))</f>
        <v>0</v>
      </c>
      <c r="E155" s="67">
        <f>(SUMIFS('Safeguard facility data'!BE$4:BE$312,'Safeguard facility data'!$Q$4:$Q$312,$A155,'Safeguard facility data'!BE$4:BE$312,"&gt;0"))-(SUMIFS('Safeguard facility data'!BL$4:BL$312,'Safeguard facility data'!$Q$4:$Q$312,$A155,'Safeguard facility data'!BL$4:BL$312,"&gt;0"))</f>
        <v>0</v>
      </c>
      <c r="F155" s="67">
        <f>(SUMIFS('Safeguard facility data'!BF$4:BF$312,'Safeguard facility data'!$Q$4:$Q$312,$A155,'Safeguard facility data'!BF$4:BF$312,"&gt;0"))-(SUMIFS('Safeguard facility data'!BM$4:BM$312,'Safeguard facility data'!$Q$4:$Q$312,$A155,'Safeguard facility data'!BM$4:BM$312,"&gt;0"))</f>
        <v>0</v>
      </c>
      <c r="G155" s="61">
        <f t="shared" si="6"/>
        <v>0</v>
      </c>
      <c r="H155" s="67"/>
      <c r="I155" s="67"/>
      <c r="J155" s="67"/>
      <c r="K155" s="67"/>
      <c r="L155" s="67"/>
      <c r="M155" s="67"/>
      <c r="N155" s="67"/>
      <c r="O155" s="67"/>
      <c r="P155" s="67"/>
      <c r="Q155" s="67"/>
      <c r="R155" s="67"/>
      <c r="S155" s="67"/>
    </row>
    <row r="156" spans="1:19">
      <c r="A156" s="54" t="s">
        <v>256</v>
      </c>
      <c r="B156" s="67">
        <f>(SUMIFS('Safeguard facility data'!BB$4:BB$312,'Safeguard facility data'!$Q$4:$Q$312,$A156,'Safeguard facility data'!BB$4:BB$312,"&gt;0"))-(SUMIFS('Safeguard facility data'!BI$4:BI$312,'Safeguard facility data'!$Q$4:$Q$312,$A156,'Safeguard facility data'!BI$4:BI$312,"&gt;0"))</f>
        <v>0</v>
      </c>
      <c r="C156" s="67">
        <f>(SUMIFS('Safeguard facility data'!BC$4:BC$312,'Safeguard facility data'!$Q$4:$Q$312,$A156,'Safeguard facility data'!BC$4:BC$312,"&gt;0"))-(SUMIFS('Safeguard facility data'!BJ$4:BJ$312,'Safeguard facility data'!$Q$4:$Q$312,$A156,'Safeguard facility data'!BJ$4:BJ$312,"&gt;0"))</f>
        <v>0</v>
      </c>
      <c r="D156" s="67">
        <f>(SUMIFS('Safeguard facility data'!BD$4:BD$312,'Safeguard facility data'!$Q$4:$Q$312,$A156,'Safeguard facility data'!BD$4:BD$312,"&gt;0"))-(SUMIFS('Safeguard facility data'!BK$4:BK$312,'Safeguard facility data'!$Q$4:$Q$312,$A156,'Safeguard facility data'!BK$4:BK$312,"&gt;0"))</f>
        <v>0</v>
      </c>
      <c r="E156" s="67">
        <f>(SUMIFS('Safeguard facility data'!BE$4:BE$312,'Safeguard facility data'!$Q$4:$Q$312,$A156,'Safeguard facility data'!BE$4:BE$312,"&gt;0"))-(SUMIFS('Safeguard facility data'!BL$4:BL$312,'Safeguard facility data'!$Q$4:$Q$312,$A156,'Safeguard facility data'!BL$4:BL$312,"&gt;0"))</f>
        <v>0</v>
      </c>
      <c r="F156" s="67">
        <f>(SUMIFS('Safeguard facility data'!BF$4:BF$312,'Safeguard facility data'!$Q$4:$Q$312,$A156,'Safeguard facility data'!BF$4:BF$312,"&gt;0"))-(SUMIFS('Safeguard facility data'!BM$4:BM$312,'Safeguard facility data'!$Q$4:$Q$312,$A156,'Safeguard facility data'!BM$4:BM$312,"&gt;0"))</f>
        <v>0</v>
      </c>
      <c r="G156" s="61">
        <f t="shared" si="6"/>
        <v>0</v>
      </c>
      <c r="H156" s="67"/>
      <c r="I156" s="67"/>
      <c r="J156" s="67"/>
      <c r="K156" s="67"/>
      <c r="L156" s="67"/>
      <c r="M156" s="67"/>
      <c r="N156" s="67"/>
      <c r="O156" s="67"/>
      <c r="P156" s="67"/>
      <c r="Q156" s="67"/>
      <c r="R156" s="67"/>
      <c r="S156" s="67"/>
    </row>
    <row r="157" spans="1:19">
      <c r="A157" s="54" t="s">
        <v>208</v>
      </c>
      <c r="B157" s="67">
        <f>(SUMIFS('Safeguard facility data'!BB$4:BB$312,'Safeguard facility data'!$Q$4:$Q$312,$A157,'Safeguard facility data'!BB$4:BB$312,"&gt;0"))-(SUMIFS('Safeguard facility data'!BI$4:BI$312,'Safeguard facility data'!$Q$4:$Q$312,$A157,'Safeguard facility data'!BI$4:BI$312,"&gt;0"))</f>
        <v>0</v>
      </c>
      <c r="C157" s="67">
        <f>(SUMIFS('Safeguard facility data'!BC$4:BC$312,'Safeguard facility data'!$Q$4:$Q$312,$A157,'Safeguard facility data'!BC$4:BC$312,"&gt;0"))-(SUMIFS('Safeguard facility data'!BJ$4:BJ$312,'Safeguard facility data'!$Q$4:$Q$312,$A157,'Safeguard facility data'!BJ$4:BJ$312,"&gt;0"))</f>
        <v>0</v>
      </c>
      <c r="D157" s="67">
        <f>(SUMIFS('Safeguard facility data'!BD$4:BD$312,'Safeguard facility data'!$Q$4:$Q$312,$A157,'Safeguard facility data'!BD$4:BD$312,"&gt;0"))-(SUMIFS('Safeguard facility data'!BK$4:BK$312,'Safeguard facility data'!$Q$4:$Q$312,$A157,'Safeguard facility data'!BK$4:BK$312,"&gt;0"))</f>
        <v>0</v>
      </c>
      <c r="E157" s="67">
        <f>(SUMIFS('Safeguard facility data'!BE$4:BE$312,'Safeguard facility data'!$Q$4:$Q$312,$A157,'Safeguard facility data'!BE$4:BE$312,"&gt;0"))-(SUMIFS('Safeguard facility data'!BL$4:BL$312,'Safeguard facility data'!$Q$4:$Q$312,$A157,'Safeguard facility data'!BL$4:BL$312,"&gt;0"))</f>
        <v>0</v>
      </c>
      <c r="F157" s="67">
        <f>(SUMIFS('Safeguard facility data'!BF$4:BF$312,'Safeguard facility data'!$Q$4:$Q$312,$A157,'Safeguard facility data'!BF$4:BF$312,"&gt;0"))-(SUMIFS('Safeguard facility data'!BM$4:BM$312,'Safeguard facility data'!$Q$4:$Q$312,$A157,'Safeguard facility data'!BM$4:BM$312,"&gt;0"))</f>
        <v>0</v>
      </c>
      <c r="G157" s="61">
        <f t="shared" si="6"/>
        <v>0</v>
      </c>
      <c r="H157" s="67"/>
      <c r="I157" s="67"/>
      <c r="J157" s="67"/>
      <c r="K157" s="67"/>
      <c r="L157" s="67"/>
      <c r="M157" s="67"/>
      <c r="N157" s="67"/>
      <c r="O157" s="67"/>
      <c r="P157" s="67"/>
      <c r="Q157" s="67"/>
      <c r="R157" s="67"/>
      <c r="S157" s="67"/>
    </row>
    <row r="158" spans="1:19">
      <c r="A158" s="54" t="s">
        <v>285</v>
      </c>
      <c r="B158" s="67">
        <f>(SUMIFS('Safeguard facility data'!BB$4:BB$312,'Safeguard facility data'!$Q$4:$Q$312,$A158,'Safeguard facility data'!BB$4:BB$312,"&gt;0"))-(SUMIFS('Safeguard facility data'!BI$4:BI$312,'Safeguard facility data'!$Q$4:$Q$312,$A158,'Safeguard facility data'!BI$4:BI$312,"&gt;0"))</f>
        <v>0</v>
      </c>
      <c r="C158" s="67">
        <f>(SUMIFS('Safeguard facility data'!BC$4:BC$312,'Safeguard facility data'!$Q$4:$Q$312,$A158,'Safeguard facility data'!BC$4:BC$312,"&gt;0"))-(SUMIFS('Safeguard facility data'!BJ$4:BJ$312,'Safeguard facility data'!$Q$4:$Q$312,$A158,'Safeguard facility data'!BJ$4:BJ$312,"&gt;0"))</f>
        <v>0</v>
      </c>
      <c r="D158" s="67">
        <f>(SUMIFS('Safeguard facility data'!BD$4:BD$312,'Safeguard facility data'!$Q$4:$Q$312,$A158,'Safeguard facility data'!BD$4:BD$312,"&gt;0"))-(SUMIFS('Safeguard facility data'!BK$4:BK$312,'Safeguard facility data'!$Q$4:$Q$312,$A158,'Safeguard facility data'!BK$4:BK$312,"&gt;0"))</f>
        <v>0</v>
      </c>
      <c r="E158" s="67">
        <f>(SUMIFS('Safeguard facility data'!BE$4:BE$312,'Safeguard facility data'!$Q$4:$Q$312,$A158,'Safeguard facility data'!BE$4:BE$312,"&gt;0"))-(SUMIFS('Safeguard facility data'!BL$4:BL$312,'Safeguard facility data'!$Q$4:$Q$312,$A158,'Safeguard facility data'!BL$4:BL$312,"&gt;0"))</f>
        <v>0</v>
      </c>
      <c r="F158" s="67">
        <f>(SUMIFS('Safeguard facility data'!BF$4:BF$312,'Safeguard facility data'!$Q$4:$Q$312,$A158,'Safeguard facility data'!BF$4:BF$312,"&gt;0"))-(SUMIFS('Safeguard facility data'!BM$4:BM$312,'Safeguard facility data'!$Q$4:$Q$312,$A158,'Safeguard facility data'!BM$4:BM$312,"&gt;0"))</f>
        <v>0</v>
      </c>
      <c r="G158" s="61">
        <f t="shared" si="6"/>
        <v>0</v>
      </c>
      <c r="H158" s="67"/>
      <c r="I158" s="67"/>
      <c r="J158" s="67"/>
      <c r="K158" s="67"/>
      <c r="L158" s="67"/>
      <c r="M158" s="67"/>
      <c r="N158" s="67"/>
      <c r="O158" s="67"/>
      <c r="P158" s="67"/>
      <c r="Q158" s="67"/>
      <c r="R158" s="67"/>
      <c r="S158" s="67"/>
    </row>
    <row r="159" spans="1:19">
      <c r="A159" s="54" t="s">
        <v>209</v>
      </c>
      <c r="B159" s="67">
        <f>(SUMIFS('Safeguard facility data'!BB$4:BB$312,'Safeguard facility data'!$Q$4:$Q$312,$A159,'Safeguard facility data'!BB$4:BB$312,"&gt;0"))-(SUMIFS('Safeguard facility data'!BI$4:BI$312,'Safeguard facility data'!$Q$4:$Q$312,$A159,'Safeguard facility data'!BI$4:BI$312,"&gt;0"))</f>
        <v>0</v>
      </c>
      <c r="C159" s="67">
        <f>(SUMIFS('Safeguard facility data'!BC$4:BC$312,'Safeguard facility data'!$Q$4:$Q$312,$A159,'Safeguard facility data'!BC$4:BC$312,"&gt;0"))-(SUMIFS('Safeguard facility data'!BJ$4:BJ$312,'Safeguard facility data'!$Q$4:$Q$312,$A159,'Safeguard facility data'!BJ$4:BJ$312,"&gt;0"))</f>
        <v>0</v>
      </c>
      <c r="D159" s="67">
        <f>(SUMIFS('Safeguard facility data'!BD$4:BD$312,'Safeguard facility data'!$Q$4:$Q$312,$A159,'Safeguard facility data'!BD$4:BD$312,"&gt;0"))-(SUMIFS('Safeguard facility data'!BK$4:BK$312,'Safeguard facility data'!$Q$4:$Q$312,$A159,'Safeguard facility data'!BK$4:BK$312,"&gt;0"))</f>
        <v>0</v>
      </c>
      <c r="E159" s="67">
        <f>(SUMIFS('Safeguard facility data'!BE$4:BE$312,'Safeguard facility data'!$Q$4:$Q$312,$A159,'Safeguard facility data'!BE$4:BE$312,"&gt;0"))-(SUMIFS('Safeguard facility data'!BL$4:BL$312,'Safeguard facility data'!$Q$4:$Q$312,$A159,'Safeguard facility data'!BL$4:BL$312,"&gt;0"))</f>
        <v>0</v>
      </c>
      <c r="F159" s="67">
        <f>(SUMIFS('Safeguard facility data'!BF$4:BF$312,'Safeguard facility data'!$Q$4:$Q$312,$A159,'Safeguard facility data'!BF$4:BF$312,"&gt;0"))-(SUMIFS('Safeguard facility data'!BM$4:BM$312,'Safeguard facility data'!$Q$4:$Q$312,$A159,'Safeguard facility data'!BM$4:BM$312,"&gt;0"))</f>
        <v>0</v>
      </c>
      <c r="G159" s="61">
        <f t="shared" si="6"/>
        <v>0</v>
      </c>
      <c r="H159" s="67"/>
      <c r="I159" s="67"/>
      <c r="J159" s="67"/>
      <c r="K159" s="67"/>
      <c r="L159" s="67"/>
      <c r="M159" s="67"/>
      <c r="N159" s="67"/>
      <c r="O159" s="67"/>
      <c r="P159" s="67"/>
      <c r="Q159" s="67"/>
      <c r="R159" s="67"/>
      <c r="S159" s="67"/>
    </row>
    <row r="160" spans="1:19">
      <c r="A160" s="54" t="s">
        <v>257</v>
      </c>
      <c r="B160" s="67">
        <f>(SUMIFS('Safeguard facility data'!BB$4:BB$312,'Safeguard facility data'!$Q$4:$Q$312,$A160,'Safeguard facility data'!BB$4:BB$312,"&gt;0"))-(SUMIFS('Safeguard facility data'!BI$4:BI$312,'Safeguard facility data'!$Q$4:$Q$312,$A160,'Safeguard facility data'!BI$4:BI$312,"&gt;0"))</f>
        <v>0</v>
      </c>
      <c r="C160" s="67">
        <f>(SUMIFS('Safeguard facility data'!BC$4:BC$312,'Safeguard facility data'!$Q$4:$Q$312,$A160,'Safeguard facility data'!BC$4:BC$312,"&gt;0"))-(SUMIFS('Safeguard facility data'!BJ$4:BJ$312,'Safeguard facility data'!$Q$4:$Q$312,$A160,'Safeguard facility data'!BJ$4:BJ$312,"&gt;0"))</f>
        <v>0</v>
      </c>
      <c r="D160" s="67">
        <f>(SUMIFS('Safeguard facility data'!BD$4:BD$312,'Safeguard facility data'!$Q$4:$Q$312,$A160,'Safeguard facility data'!BD$4:BD$312,"&gt;0"))-(SUMIFS('Safeguard facility data'!BK$4:BK$312,'Safeguard facility data'!$Q$4:$Q$312,$A160,'Safeguard facility data'!BK$4:BK$312,"&gt;0"))</f>
        <v>0</v>
      </c>
      <c r="E160" s="67">
        <f>(SUMIFS('Safeguard facility data'!BE$4:BE$312,'Safeguard facility data'!$Q$4:$Q$312,$A160,'Safeguard facility data'!BE$4:BE$312,"&gt;0"))-(SUMIFS('Safeguard facility data'!BL$4:BL$312,'Safeguard facility data'!$Q$4:$Q$312,$A160,'Safeguard facility data'!BL$4:BL$312,"&gt;0"))</f>
        <v>0</v>
      </c>
      <c r="F160" s="67">
        <f>(SUMIFS('Safeguard facility data'!BF$4:BF$312,'Safeguard facility data'!$Q$4:$Q$312,$A160,'Safeguard facility data'!BF$4:BF$312,"&gt;0"))-(SUMIFS('Safeguard facility data'!BM$4:BM$312,'Safeguard facility data'!$Q$4:$Q$312,$A160,'Safeguard facility data'!BM$4:BM$312,"&gt;0"))</f>
        <v>0</v>
      </c>
      <c r="G160" s="61">
        <f t="shared" si="6"/>
        <v>0</v>
      </c>
      <c r="H160" s="67"/>
      <c r="I160" s="67"/>
      <c r="J160" s="67"/>
      <c r="K160" s="67"/>
      <c r="L160" s="67"/>
      <c r="M160" s="67"/>
      <c r="N160" s="67"/>
      <c r="O160" s="67"/>
      <c r="P160" s="67"/>
      <c r="Q160" s="67"/>
      <c r="R160" s="67"/>
      <c r="S160" s="67"/>
    </row>
    <row r="161" spans="1:19">
      <c r="A161" s="54" t="s">
        <v>210</v>
      </c>
      <c r="B161" s="67">
        <f>(SUMIFS('Safeguard facility data'!BB$4:BB$312,'Safeguard facility data'!$Q$4:$Q$312,$A161,'Safeguard facility data'!BB$4:BB$312,"&gt;0"))-(SUMIFS('Safeguard facility data'!BI$4:BI$312,'Safeguard facility data'!$Q$4:$Q$312,$A161,'Safeguard facility data'!BI$4:BI$312,"&gt;0"))</f>
        <v>0</v>
      </c>
      <c r="C161" s="67">
        <f>(SUMIFS('Safeguard facility data'!BC$4:BC$312,'Safeguard facility data'!$Q$4:$Q$312,$A161,'Safeguard facility data'!BC$4:BC$312,"&gt;0"))-(SUMIFS('Safeguard facility data'!BJ$4:BJ$312,'Safeguard facility data'!$Q$4:$Q$312,$A161,'Safeguard facility data'!BJ$4:BJ$312,"&gt;0"))</f>
        <v>0</v>
      </c>
      <c r="D161" s="67">
        <f>(SUMIFS('Safeguard facility data'!BD$4:BD$312,'Safeguard facility data'!$Q$4:$Q$312,$A161,'Safeguard facility data'!BD$4:BD$312,"&gt;0"))-(SUMIFS('Safeguard facility data'!BK$4:BK$312,'Safeguard facility data'!$Q$4:$Q$312,$A161,'Safeguard facility data'!BK$4:BK$312,"&gt;0"))</f>
        <v>0</v>
      </c>
      <c r="E161" s="67">
        <f>(SUMIFS('Safeguard facility data'!BE$4:BE$312,'Safeguard facility data'!$Q$4:$Q$312,$A161,'Safeguard facility data'!BE$4:BE$312,"&gt;0"))-(SUMIFS('Safeguard facility data'!BL$4:BL$312,'Safeguard facility data'!$Q$4:$Q$312,$A161,'Safeguard facility data'!BL$4:BL$312,"&gt;0"))</f>
        <v>0</v>
      </c>
      <c r="F161" s="67">
        <f>(SUMIFS('Safeguard facility data'!BF$4:BF$312,'Safeguard facility data'!$Q$4:$Q$312,$A161,'Safeguard facility data'!BF$4:BF$312,"&gt;0"))-(SUMIFS('Safeguard facility data'!BM$4:BM$312,'Safeguard facility data'!$Q$4:$Q$312,$A161,'Safeguard facility data'!BM$4:BM$312,"&gt;0"))</f>
        <v>0</v>
      </c>
      <c r="G161" s="61">
        <f t="shared" si="6"/>
        <v>0</v>
      </c>
      <c r="H161" s="67"/>
      <c r="I161" s="67"/>
      <c r="J161" s="67"/>
      <c r="K161" s="67"/>
      <c r="L161" s="67"/>
      <c r="M161" s="67"/>
      <c r="N161" s="67"/>
      <c r="O161" s="67"/>
      <c r="P161" s="67"/>
      <c r="Q161" s="67"/>
      <c r="R161" s="67"/>
      <c r="S161" s="67"/>
    </row>
    <row r="162" spans="1:19">
      <c r="A162" s="54" t="s">
        <v>211</v>
      </c>
      <c r="B162" s="67">
        <f>(SUMIFS('Safeguard facility data'!BB$4:BB$312,'Safeguard facility data'!$Q$4:$Q$312,$A162,'Safeguard facility data'!BB$4:BB$312,"&gt;0"))-(SUMIFS('Safeguard facility data'!BI$4:BI$312,'Safeguard facility data'!$Q$4:$Q$312,$A162,'Safeguard facility data'!BI$4:BI$312,"&gt;0"))</f>
        <v>0</v>
      </c>
      <c r="C162" s="67">
        <f>(SUMIFS('Safeguard facility data'!BC$4:BC$312,'Safeguard facility data'!$Q$4:$Q$312,$A162,'Safeguard facility data'!BC$4:BC$312,"&gt;0"))-(SUMIFS('Safeguard facility data'!BJ$4:BJ$312,'Safeguard facility data'!$Q$4:$Q$312,$A162,'Safeguard facility data'!BJ$4:BJ$312,"&gt;0"))</f>
        <v>0</v>
      </c>
      <c r="D162" s="67">
        <f>(SUMIFS('Safeguard facility data'!BD$4:BD$312,'Safeguard facility data'!$Q$4:$Q$312,$A162,'Safeguard facility data'!BD$4:BD$312,"&gt;0"))-(SUMIFS('Safeguard facility data'!BK$4:BK$312,'Safeguard facility data'!$Q$4:$Q$312,$A162,'Safeguard facility data'!BK$4:BK$312,"&gt;0"))</f>
        <v>0</v>
      </c>
      <c r="E162" s="67">
        <f>(SUMIFS('Safeguard facility data'!BE$4:BE$312,'Safeguard facility data'!$Q$4:$Q$312,$A162,'Safeguard facility data'!BE$4:BE$312,"&gt;0"))-(SUMIFS('Safeguard facility data'!BL$4:BL$312,'Safeguard facility data'!$Q$4:$Q$312,$A162,'Safeguard facility data'!BL$4:BL$312,"&gt;0"))</f>
        <v>0</v>
      </c>
      <c r="F162" s="67">
        <f>(SUMIFS('Safeguard facility data'!BF$4:BF$312,'Safeguard facility data'!$Q$4:$Q$312,$A162,'Safeguard facility data'!BF$4:BF$312,"&gt;0"))-(SUMIFS('Safeguard facility data'!BM$4:BM$312,'Safeguard facility data'!$Q$4:$Q$312,$A162,'Safeguard facility data'!BM$4:BM$312,"&gt;0"))</f>
        <v>0</v>
      </c>
      <c r="G162" s="61">
        <f t="shared" si="6"/>
        <v>0</v>
      </c>
      <c r="H162" s="67"/>
      <c r="I162" s="67"/>
      <c r="J162" s="67"/>
      <c r="K162" s="67"/>
      <c r="L162" s="67"/>
      <c r="M162" s="67"/>
      <c r="N162" s="67"/>
      <c r="O162" s="67"/>
      <c r="P162" s="67"/>
      <c r="Q162" s="67"/>
      <c r="R162" s="67"/>
      <c r="S162" s="67"/>
    </row>
    <row r="163" spans="1:19">
      <c r="A163" s="54" t="s">
        <v>258</v>
      </c>
      <c r="B163" s="67">
        <f>(SUMIFS('Safeguard facility data'!BB$4:BB$312,'Safeguard facility data'!$Q$4:$Q$312,$A163,'Safeguard facility data'!BB$4:BB$312,"&gt;0"))-(SUMIFS('Safeguard facility data'!BI$4:BI$312,'Safeguard facility data'!$Q$4:$Q$312,$A163,'Safeguard facility data'!BI$4:BI$312,"&gt;0"))</f>
        <v>0</v>
      </c>
      <c r="C163" s="67">
        <f>(SUMIFS('Safeguard facility data'!BC$4:BC$312,'Safeguard facility data'!$Q$4:$Q$312,$A163,'Safeguard facility data'!BC$4:BC$312,"&gt;0"))-(SUMIFS('Safeguard facility data'!BJ$4:BJ$312,'Safeguard facility data'!$Q$4:$Q$312,$A163,'Safeguard facility data'!BJ$4:BJ$312,"&gt;0"))</f>
        <v>0</v>
      </c>
      <c r="D163" s="67">
        <f>(SUMIFS('Safeguard facility data'!BD$4:BD$312,'Safeguard facility data'!$Q$4:$Q$312,$A163,'Safeguard facility data'!BD$4:BD$312,"&gt;0"))-(SUMIFS('Safeguard facility data'!BK$4:BK$312,'Safeguard facility data'!$Q$4:$Q$312,$A163,'Safeguard facility data'!BK$4:BK$312,"&gt;0"))</f>
        <v>0</v>
      </c>
      <c r="E163" s="67">
        <f>(SUMIFS('Safeguard facility data'!BE$4:BE$312,'Safeguard facility data'!$Q$4:$Q$312,$A163,'Safeguard facility data'!BE$4:BE$312,"&gt;0"))-(SUMIFS('Safeguard facility data'!BL$4:BL$312,'Safeguard facility data'!$Q$4:$Q$312,$A163,'Safeguard facility data'!BL$4:BL$312,"&gt;0"))</f>
        <v>0</v>
      </c>
      <c r="F163" s="67">
        <f>(SUMIFS('Safeguard facility data'!BF$4:BF$312,'Safeguard facility data'!$Q$4:$Q$312,$A163,'Safeguard facility data'!BF$4:BF$312,"&gt;0"))-(SUMIFS('Safeguard facility data'!BM$4:BM$312,'Safeguard facility data'!$Q$4:$Q$312,$A163,'Safeguard facility data'!BM$4:BM$312,"&gt;0"))</f>
        <v>0</v>
      </c>
      <c r="G163" s="61">
        <f t="shared" si="6"/>
        <v>0</v>
      </c>
      <c r="H163" s="67"/>
      <c r="I163" s="67"/>
      <c r="J163" s="67"/>
      <c r="K163" s="67"/>
      <c r="L163" s="67"/>
      <c r="M163" s="67"/>
      <c r="N163" s="67"/>
      <c r="O163" s="67"/>
      <c r="P163" s="67"/>
      <c r="Q163" s="67"/>
      <c r="R163" s="67"/>
      <c r="S163" s="67"/>
    </row>
    <row r="164" spans="1:19">
      <c r="A164" s="54" t="s">
        <v>133</v>
      </c>
      <c r="B164" s="67">
        <f>(SUMIFS('Safeguard facility data'!BB$4:BB$312,'Safeguard facility data'!$Q$4:$Q$312,$A164,'Safeguard facility data'!BB$4:BB$312,"&gt;0"))-(SUMIFS('Safeguard facility data'!BI$4:BI$312,'Safeguard facility data'!$Q$4:$Q$312,$A164,'Safeguard facility data'!BI$4:BI$312,"&gt;0"))</f>
        <v>0</v>
      </c>
      <c r="C164" s="67">
        <f>(SUMIFS('Safeguard facility data'!BC$4:BC$312,'Safeguard facility data'!$Q$4:$Q$312,$A164,'Safeguard facility data'!BC$4:BC$312,"&gt;0"))-(SUMIFS('Safeguard facility data'!BJ$4:BJ$312,'Safeguard facility data'!$Q$4:$Q$312,$A164,'Safeguard facility data'!BJ$4:BJ$312,"&gt;0"))</f>
        <v>0</v>
      </c>
      <c r="D164" s="67">
        <f>(SUMIFS('Safeguard facility data'!BD$4:BD$312,'Safeguard facility data'!$Q$4:$Q$312,$A164,'Safeguard facility data'!BD$4:BD$312,"&gt;0"))-(SUMIFS('Safeguard facility data'!BK$4:BK$312,'Safeguard facility data'!$Q$4:$Q$312,$A164,'Safeguard facility data'!BK$4:BK$312,"&gt;0"))</f>
        <v>0</v>
      </c>
      <c r="E164" s="67">
        <f>(SUMIFS('Safeguard facility data'!BE$4:BE$312,'Safeguard facility data'!$Q$4:$Q$312,$A164,'Safeguard facility data'!BE$4:BE$312,"&gt;0"))-(SUMIFS('Safeguard facility data'!BL$4:BL$312,'Safeguard facility data'!$Q$4:$Q$312,$A164,'Safeguard facility data'!BL$4:BL$312,"&gt;0"))</f>
        <v>0</v>
      </c>
      <c r="F164" s="67">
        <f>(SUMIFS('Safeguard facility data'!BF$4:BF$312,'Safeguard facility data'!$Q$4:$Q$312,$A164,'Safeguard facility data'!BF$4:BF$312,"&gt;0"))-(SUMIFS('Safeguard facility data'!BM$4:BM$312,'Safeguard facility data'!$Q$4:$Q$312,$A164,'Safeguard facility data'!BM$4:BM$312,"&gt;0"))</f>
        <v>0</v>
      </c>
      <c r="G164" s="61">
        <f t="shared" ref="G164:G195" si="7">SUM(B164:F164)</f>
        <v>0</v>
      </c>
      <c r="H164" s="67"/>
      <c r="I164" s="67"/>
      <c r="J164" s="67"/>
      <c r="K164" s="67"/>
      <c r="L164" s="67"/>
      <c r="M164" s="67"/>
      <c r="N164" s="67"/>
      <c r="O164" s="67"/>
      <c r="P164" s="67"/>
      <c r="Q164" s="67"/>
      <c r="R164" s="67"/>
      <c r="S164" s="67"/>
    </row>
    <row r="165" spans="1:19">
      <c r="A165" s="54" t="s">
        <v>212</v>
      </c>
      <c r="B165" s="67">
        <f>(SUMIFS('Safeguard facility data'!BB$4:BB$312,'Safeguard facility data'!$Q$4:$Q$312,$A165,'Safeguard facility data'!BB$4:BB$312,"&gt;0"))-(SUMIFS('Safeguard facility data'!BI$4:BI$312,'Safeguard facility data'!$Q$4:$Q$312,$A165,'Safeguard facility data'!BI$4:BI$312,"&gt;0"))</f>
        <v>0</v>
      </c>
      <c r="C165" s="67">
        <f>(SUMIFS('Safeguard facility data'!BC$4:BC$312,'Safeguard facility data'!$Q$4:$Q$312,$A165,'Safeguard facility data'!BC$4:BC$312,"&gt;0"))-(SUMIFS('Safeguard facility data'!BJ$4:BJ$312,'Safeguard facility data'!$Q$4:$Q$312,$A165,'Safeguard facility data'!BJ$4:BJ$312,"&gt;0"))</f>
        <v>0</v>
      </c>
      <c r="D165" s="67">
        <f>(SUMIFS('Safeguard facility data'!BD$4:BD$312,'Safeguard facility data'!$Q$4:$Q$312,$A165,'Safeguard facility data'!BD$4:BD$312,"&gt;0"))-(SUMIFS('Safeguard facility data'!BK$4:BK$312,'Safeguard facility data'!$Q$4:$Q$312,$A165,'Safeguard facility data'!BK$4:BK$312,"&gt;0"))</f>
        <v>0</v>
      </c>
      <c r="E165" s="67">
        <f>(SUMIFS('Safeguard facility data'!BE$4:BE$312,'Safeguard facility data'!$Q$4:$Q$312,$A165,'Safeguard facility data'!BE$4:BE$312,"&gt;0"))-(SUMIFS('Safeguard facility data'!BL$4:BL$312,'Safeguard facility data'!$Q$4:$Q$312,$A165,'Safeguard facility data'!BL$4:BL$312,"&gt;0"))</f>
        <v>0</v>
      </c>
      <c r="F165" s="67">
        <f>(SUMIFS('Safeguard facility data'!BF$4:BF$312,'Safeguard facility data'!$Q$4:$Q$312,$A165,'Safeguard facility data'!BF$4:BF$312,"&gt;0"))-(SUMIFS('Safeguard facility data'!BM$4:BM$312,'Safeguard facility data'!$Q$4:$Q$312,$A165,'Safeguard facility data'!BM$4:BM$312,"&gt;0"))</f>
        <v>0</v>
      </c>
      <c r="G165" s="61">
        <f t="shared" si="7"/>
        <v>0</v>
      </c>
      <c r="H165" s="67"/>
      <c r="I165" s="67"/>
      <c r="J165" s="67"/>
      <c r="K165" s="67"/>
      <c r="L165" s="67"/>
      <c r="M165" s="67"/>
      <c r="N165" s="67"/>
      <c r="O165" s="67"/>
      <c r="P165" s="67"/>
      <c r="Q165" s="67"/>
      <c r="R165" s="67"/>
      <c r="S165" s="67"/>
    </row>
    <row r="166" spans="1:19">
      <c r="A166" s="54" t="s">
        <v>214</v>
      </c>
      <c r="B166" s="67">
        <f>(SUMIFS('Safeguard facility data'!BB$4:BB$312,'Safeguard facility data'!$Q$4:$Q$312,$A166,'Safeguard facility data'!BB$4:BB$312,"&gt;0"))-(SUMIFS('Safeguard facility data'!BI$4:BI$312,'Safeguard facility data'!$Q$4:$Q$312,$A166,'Safeguard facility data'!BI$4:BI$312,"&gt;0"))</f>
        <v>0</v>
      </c>
      <c r="C166" s="67">
        <f>(SUMIFS('Safeguard facility data'!BC$4:BC$312,'Safeguard facility data'!$Q$4:$Q$312,$A166,'Safeguard facility data'!BC$4:BC$312,"&gt;0"))-(SUMIFS('Safeguard facility data'!BJ$4:BJ$312,'Safeguard facility data'!$Q$4:$Q$312,$A166,'Safeguard facility data'!BJ$4:BJ$312,"&gt;0"))</f>
        <v>0</v>
      </c>
      <c r="D166" s="67">
        <f>(SUMIFS('Safeguard facility data'!BD$4:BD$312,'Safeguard facility data'!$Q$4:$Q$312,$A166,'Safeguard facility data'!BD$4:BD$312,"&gt;0"))-(SUMIFS('Safeguard facility data'!BK$4:BK$312,'Safeguard facility data'!$Q$4:$Q$312,$A166,'Safeguard facility data'!BK$4:BK$312,"&gt;0"))</f>
        <v>0</v>
      </c>
      <c r="E166" s="67">
        <f>(SUMIFS('Safeguard facility data'!BE$4:BE$312,'Safeguard facility data'!$Q$4:$Q$312,$A166,'Safeguard facility data'!BE$4:BE$312,"&gt;0"))-(SUMIFS('Safeguard facility data'!BL$4:BL$312,'Safeguard facility data'!$Q$4:$Q$312,$A166,'Safeguard facility data'!BL$4:BL$312,"&gt;0"))</f>
        <v>0</v>
      </c>
      <c r="F166" s="67">
        <f>(SUMIFS('Safeguard facility data'!BF$4:BF$312,'Safeguard facility data'!$Q$4:$Q$312,$A166,'Safeguard facility data'!BF$4:BF$312,"&gt;0"))-(SUMIFS('Safeguard facility data'!BM$4:BM$312,'Safeguard facility data'!$Q$4:$Q$312,$A166,'Safeguard facility data'!BM$4:BM$312,"&gt;0"))</f>
        <v>0</v>
      </c>
      <c r="G166" s="61">
        <f t="shared" si="7"/>
        <v>0</v>
      </c>
      <c r="H166" s="67"/>
      <c r="I166" s="67"/>
      <c r="J166" s="67"/>
      <c r="K166" s="67"/>
      <c r="L166" s="67"/>
      <c r="M166" s="67"/>
      <c r="N166" s="67"/>
      <c r="O166" s="67"/>
      <c r="P166" s="67"/>
      <c r="Q166" s="67"/>
      <c r="R166" s="67"/>
      <c r="S166" s="67"/>
    </row>
    <row r="167" spans="1:19">
      <c r="A167" s="54" t="s">
        <v>215</v>
      </c>
      <c r="B167" s="67">
        <f>(SUMIFS('Safeguard facility data'!BB$4:BB$312,'Safeguard facility data'!$Q$4:$Q$312,$A167,'Safeguard facility data'!BB$4:BB$312,"&gt;0"))-(SUMIFS('Safeguard facility data'!BI$4:BI$312,'Safeguard facility data'!$Q$4:$Q$312,$A167,'Safeguard facility data'!BI$4:BI$312,"&gt;0"))</f>
        <v>0</v>
      </c>
      <c r="C167" s="67">
        <f>(SUMIFS('Safeguard facility data'!BC$4:BC$312,'Safeguard facility data'!$Q$4:$Q$312,$A167,'Safeguard facility data'!BC$4:BC$312,"&gt;0"))-(SUMIFS('Safeguard facility data'!BJ$4:BJ$312,'Safeguard facility data'!$Q$4:$Q$312,$A167,'Safeguard facility data'!BJ$4:BJ$312,"&gt;0"))</f>
        <v>0</v>
      </c>
      <c r="D167" s="67">
        <f>(SUMIFS('Safeguard facility data'!BD$4:BD$312,'Safeguard facility data'!$Q$4:$Q$312,$A167,'Safeguard facility data'!BD$4:BD$312,"&gt;0"))-(SUMIFS('Safeguard facility data'!BK$4:BK$312,'Safeguard facility data'!$Q$4:$Q$312,$A167,'Safeguard facility data'!BK$4:BK$312,"&gt;0"))</f>
        <v>0</v>
      </c>
      <c r="E167" s="67">
        <f>(SUMIFS('Safeguard facility data'!BE$4:BE$312,'Safeguard facility data'!$Q$4:$Q$312,$A167,'Safeguard facility data'!BE$4:BE$312,"&gt;0"))-(SUMIFS('Safeguard facility data'!BL$4:BL$312,'Safeguard facility data'!$Q$4:$Q$312,$A167,'Safeguard facility data'!BL$4:BL$312,"&gt;0"))</f>
        <v>0</v>
      </c>
      <c r="F167" s="67">
        <f>(SUMIFS('Safeguard facility data'!BF$4:BF$312,'Safeguard facility data'!$Q$4:$Q$312,$A167,'Safeguard facility data'!BF$4:BF$312,"&gt;0"))-(SUMIFS('Safeguard facility data'!BM$4:BM$312,'Safeguard facility data'!$Q$4:$Q$312,$A167,'Safeguard facility data'!BM$4:BM$312,"&gt;0"))</f>
        <v>0</v>
      </c>
      <c r="G167" s="61">
        <f t="shared" si="7"/>
        <v>0</v>
      </c>
      <c r="H167" s="67"/>
      <c r="I167" s="67"/>
      <c r="J167" s="67"/>
      <c r="K167" s="67"/>
      <c r="L167" s="67"/>
      <c r="M167" s="67"/>
      <c r="N167" s="67"/>
      <c r="O167" s="67"/>
      <c r="P167" s="67"/>
      <c r="Q167" s="67"/>
      <c r="R167" s="67"/>
      <c r="S167" s="67"/>
    </row>
    <row r="168" spans="1:19">
      <c r="A168" s="54" t="s">
        <v>216</v>
      </c>
      <c r="B168" s="67">
        <f>(SUMIFS('Safeguard facility data'!BB$4:BB$312,'Safeguard facility data'!$Q$4:$Q$312,$A168,'Safeguard facility data'!BB$4:BB$312,"&gt;0"))-(SUMIFS('Safeguard facility data'!BI$4:BI$312,'Safeguard facility data'!$Q$4:$Q$312,$A168,'Safeguard facility data'!BI$4:BI$312,"&gt;0"))</f>
        <v>0</v>
      </c>
      <c r="C168" s="67">
        <f>(SUMIFS('Safeguard facility data'!BC$4:BC$312,'Safeguard facility data'!$Q$4:$Q$312,$A168,'Safeguard facility data'!BC$4:BC$312,"&gt;0"))-(SUMIFS('Safeguard facility data'!BJ$4:BJ$312,'Safeguard facility data'!$Q$4:$Q$312,$A168,'Safeguard facility data'!BJ$4:BJ$312,"&gt;0"))</f>
        <v>0</v>
      </c>
      <c r="D168" s="67">
        <f>(SUMIFS('Safeguard facility data'!BD$4:BD$312,'Safeguard facility data'!$Q$4:$Q$312,$A168,'Safeguard facility data'!BD$4:BD$312,"&gt;0"))-(SUMIFS('Safeguard facility data'!BK$4:BK$312,'Safeguard facility data'!$Q$4:$Q$312,$A168,'Safeguard facility data'!BK$4:BK$312,"&gt;0"))</f>
        <v>0</v>
      </c>
      <c r="E168" s="67">
        <f>(SUMIFS('Safeguard facility data'!BE$4:BE$312,'Safeguard facility data'!$Q$4:$Q$312,$A168,'Safeguard facility data'!BE$4:BE$312,"&gt;0"))-(SUMIFS('Safeguard facility data'!BL$4:BL$312,'Safeguard facility data'!$Q$4:$Q$312,$A168,'Safeguard facility data'!BL$4:BL$312,"&gt;0"))</f>
        <v>0</v>
      </c>
      <c r="F168" s="67">
        <f>(SUMIFS('Safeguard facility data'!BF$4:BF$312,'Safeguard facility data'!$Q$4:$Q$312,$A168,'Safeguard facility data'!BF$4:BF$312,"&gt;0"))-(SUMIFS('Safeguard facility data'!BM$4:BM$312,'Safeguard facility data'!$Q$4:$Q$312,$A168,'Safeguard facility data'!BM$4:BM$312,"&gt;0"))</f>
        <v>0</v>
      </c>
      <c r="G168" s="61">
        <f t="shared" si="7"/>
        <v>0</v>
      </c>
      <c r="H168" s="67"/>
      <c r="I168" s="67"/>
      <c r="J168" s="67"/>
      <c r="K168" s="67"/>
      <c r="L168" s="67"/>
      <c r="M168" s="67"/>
      <c r="N168" s="67"/>
      <c r="O168" s="67"/>
      <c r="P168" s="67"/>
      <c r="Q168" s="67"/>
      <c r="R168" s="67"/>
      <c r="S168" s="67"/>
    </row>
    <row r="169" spans="1:19">
      <c r="A169" s="54" t="s">
        <v>259</v>
      </c>
      <c r="B169" s="67">
        <f>(SUMIFS('Safeguard facility data'!BB$4:BB$312,'Safeguard facility data'!$Q$4:$Q$312,$A169,'Safeguard facility data'!BB$4:BB$312,"&gt;0"))-(SUMIFS('Safeguard facility data'!BI$4:BI$312,'Safeguard facility data'!$Q$4:$Q$312,$A169,'Safeguard facility data'!BI$4:BI$312,"&gt;0"))</f>
        <v>0</v>
      </c>
      <c r="C169" s="67">
        <f>(SUMIFS('Safeguard facility data'!BC$4:BC$312,'Safeguard facility data'!$Q$4:$Q$312,$A169,'Safeguard facility data'!BC$4:BC$312,"&gt;0"))-(SUMIFS('Safeguard facility data'!BJ$4:BJ$312,'Safeguard facility data'!$Q$4:$Q$312,$A169,'Safeguard facility data'!BJ$4:BJ$312,"&gt;0"))</f>
        <v>0</v>
      </c>
      <c r="D169" s="67">
        <f>(SUMIFS('Safeguard facility data'!BD$4:BD$312,'Safeguard facility data'!$Q$4:$Q$312,$A169,'Safeguard facility data'!BD$4:BD$312,"&gt;0"))-(SUMIFS('Safeguard facility data'!BK$4:BK$312,'Safeguard facility data'!$Q$4:$Q$312,$A169,'Safeguard facility data'!BK$4:BK$312,"&gt;0"))</f>
        <v>0</v>
      </c>
      <c r="E169" s="67">
        <f>(SUMIFS('Safeguard facility data'!BE$4:BE$312,'Safeguard facility data'!$Q$4:$Q$312,$A169,'Safeguard facility data'!BE$4:BE$312,"&gt;0"))-(SUMIFS('Safeguard facility data'!BL$4:BL$312,'Safeguard facility data'!$Q$4:$Q$312,$A169,'Safeguard facility data'!BL$4:BL$312,"&gt;0"))</f>
        <v>0</v>
      </c>
      <c r="F169" s="67">
        <f>(SUMIFS('Safeguard facility data'!BF$4:BF$312,'Safeguard facility data'!$Q$4:$Q$312,$A169,'Safeguard facility data'!BF$4:BF$312,"&gt;0"))-(SUMIFS('Safeguard facility data'!BM$4:BM$312,'Safeguard facility data'!$Q$4:$Q$312,$A169,'Safeguard facility data'!BM$4:BM$312,"&gt;0"))</f>
        <v>0</v>
      </c>
      <c r="G169" s="61">
        <f t="shared" si="7"/>
        <v>0</v>
      </c>
      <c r="H169" s="67"/>
      <c r="I169" s="67"/>
      <c r="J169" s="67"/>
      <c r="K169" s="67"/>
      <c r="L169" s="67"/>
      <c r="M169" s="67"/>
      <c r="N169" s="67"/>
      <c r="O169" s="67"/>
      <c r="P169" s="67"/>
      <c r="Q169" s="67"/>
      <c r="R169" s="67"/>
      <c r="S169" s="67"/>
    </row>
    <row r="170" spans="1:19">
      <c r="A170" s="54" t="s">
        <v>260</v>
      </c>
      <c r="B170" s="67">
        <f>(SUMIFS('Safeguard facility data'!BB$4:BB$312,'Safeguard facility data'!$Q$4:$Q$312,$A170,'Safeguard facility data'!BB$4:BB$312,"&gt;0"))-(SUMIFS('Safeguard facility data'!BI$4:BI$312,'Safeguard facility data'!$Q$4:$Q$312,$A170,'Safeguard facility data'!BI$4:BI$312,"&gt;0"))</f>
        <v>0</v>
      </c>
      <c r="C170" s="67">
        <f>(SUMIFS('Safeguard facility data'!BC$4:BC$312,'Safeguard facility data'!$Q$4:$Q$312,$A170,'Safeguard facility data'!BC$4:BC$312,"&gt;0"))-(SUMIFS('Safeguard facility data'!BJ$4:BJ$312,'Safeguard facility data'!$Q$4:$Q$312,$A170,'Safeguard facility data'!BJ$4:BJ$312,"&gt;0"))</f>
        <v>0</v>
      </c>
      <c r="D170" s="67">
        <f>(SUMIFS('Safeguard facility data'!BD$4:BD$312,'Safeguard facility data'!$Q$4:$Q$312,$A170,'Safeguard facility data'!BD$4:BD$312,"&gt;0"))-(SUMIFS('Safeguard facility data'!BK$4:BK$312,'Safeguard facility data'!$Q$4:$Q$312,$A170,'Safeguard facility data'!BK$4:BK$312,"&gt;0"))</f>
        <v>0</v>
      </c>
      <c r="E170" s="67">
        <f>(SUMIFS('Safeguard facility data'!BE$4:BE$312,'Safeguard facility data'!$Q$4:$Q$312,$A170,'Safeguard facility data'!BE$4:BE$312,"&gt;0"))-(SUMIFS('Safeguard facility data'!BL$4:BL$312,'Safeguard facility data'!$Q$4:$Q$312,$A170,'Safeguard facility data'!BL$4:BL$312,"&gt;0"))</f>
        <v>0</v>
      </c>
      <c r="F170" s="67">
        <f>(SUMIFS('Safeguard facility data'!BF$4:BF$312,'Safeguard facility data'!$Q$4:$Q$312,$A170,'Safeguard facility data'!BF$4:BF$312,"&gt;0"))-(SUMIFS('Safeguard facility data'!BM$4:BM$312,'Safeguard facility data'!$Q$4:$Q$312,$A170,'Safeguard facility data'!BM$4:BM$312,"&gt;0"))</f>
        <v>0</v>
      </c>
      <c r="G170" s="61">
        <f t="shared" si="7"/>
        <v>0</v>
      </c>
      <c r="H170" s="67"/>
      <c r="I170" s="67"/>
      <c r="J170" s="67"/>
      <c r="K170" s="67"/>
      <c r="L170" s="67"/>
      <c r="M170" s="67"/>
      <c r="N170" s="67"/>
      <c r="O170" s="67"/>
      <c r="P170" s="67"/>
      <c r="Q170" s="67"/>
      <c r="R170" s="67"/>
      <c r="S170" s="67"/>
    </row>
    <row r="171" spans="1:19">
      <c r="A171" s="54" t="s">
        <v>217</v>
      </c>
      <c r="B171" s="67">
        <f>(SUMIFS('Safeguard facility data'!BB$4:BB$312,'Safeguard facility data'!$Q$4:$Q$312,$A171,'Safeguard facility data'!BB$4:BB$312,"&gt;0"))-(SUMIFS('Safeguard facility data'!BI$4:BI$312,'Safeguard facility data'!$Q$4:$Q$312,$A171,'Safeguard facility data'!BI$4:BI$312,"&gt;0"))</f>
        <v>0</v>
      </c>
      <c r="C171" s="67">
        <f>(SUMIFS('Safeguard facility data'!BC$4:BC$312,'Safeguard facility data'!$Q$4:$Q$312,$A171,'Safeguard facility data'!BC$4:BC$312,"&gt;0"))-(SUMIFS('Safeguard facility data'!BJ$4:BJ$312,'Safeguard facility data'!$Q$4:$Q$312,$A171,'Safeguard facility data'!BJ$4:BJ$312,"&gt;0"))</f>
        <v>0</v>
      </c>
      <c r="D171" s="67">
        <f>(SUMIFS('Safeguard facility data'!BD$4:BD$312,'Safeguard facility data'!$Q$4:$Q$312,$A171,'Safeguard facility data'!BD$4:BD$312,"&gt;0"))-(SUMIFS('Safeguard facility data'!BK$4:BK$312,'Safeguard facility data'!$Q$4:$Q$312,$A171,'Safeguard facility data'!BK$4:BK$312,"&gt;0"))</f>
        <v>0</v>
      </c>
      <c r="E171" s="67">
        <f>(SUMIFS('Safeguard facility data'!BE$4:BE$312,'Safeguard facility data'!$Q$4:$Q$312,$A171,'Safeguard facility data'!BE$4:BE$312,"&gt;0"))-(SUMIFS('Safeguard facility data'!BL$4:BL$312,'Safeguard facility data'!$Q$4:$Q$312,$A171,'Safeguard facility data'!BL$4:BL$312,"&gt;0"))</f>
        <v>0</v>
      </c>
      <c r="F171" s="67">
        <f>(SUMIFS('Safeguard facility data'!BF$4:BF$312,'Safeguard facility data'!$Q$4:$Q$312,$A171,'Safeguard facility data'!BF$4:BF$312,"&gt;0"))-(SUMIFS('Safeguard facility data'!BM$4:BM$312,'Safeguard facility data'!$Q$4:$Q$312,$A171,'Safeguard facility data'!BM$4:BM$312,"&gt;0"))</f>
        <v>0</v>
      </c>
      <c r="G171" s="61">
        <f t="shared" si="7"/>
        <v>0</v>
      </c>
      <c r="H171" s="67"/>
      <c r="I171" s="67"/>
      <c r="J171" s="67"/>
      <c r="K171" s="67"/>
      <c r="L171" s="67"/>
      <c r="M171" s="67"/>
      <c r="N171" s="67"/>
      <c r="O171" s="67"/>
      <c r="P171" s="67"/>
      <c r="Q171" s="67"/>
      <c r="R171" s="67"/>
      <c r="S171" s="67"/>
    </row>
    <row r="172" spans="1:19">
      <c r="A172" s="54" t="s">
        <v>218</v>
      </c>
      <c r="B172" s="67">
        <f>(SUMIFS('Safeguard facility data'!BB$4:BB$312,'Safeguard facility data'!$Q$4:$Q$312,$A172,'Safeguard facility data'!BB$4:BB$312,"&gt;0"))-(SUMIFS('Safeguard facility data'!BI$4:BI$312,'Safeguard facility data'!$Q$4:$Q$312,$A172,'Safeguard facility data'!BI$4:BI$312,"&gt;0"))</f>
        <v>0</v>
      </c>
      <c r="C172" s="67">
        <f>(SUMIFS('Safeguard facility data'!BC$4:BC$312,'Safeguard facility data'!$Q$4:$Q$312,$A172,'Safeguard facility data'!BC$4:BC$312,"&gt;0"))-(SUMIFS('Safeguard facility data'!BJ$4:BJ$312,'Safeguard facility data'!$Q$4:$Q$312,$A172,'Safeguard facility data'!BJ$4:BJ$312,"&gt;0"))</f>
        <v>0</v>
      </c>
      <c r="D172" s="67">
        <f>(SUMIFS('Safeguard facility data'!BD$4:BD$312,'Safeguard facility data'!$Q$4:$Q$312,$A172,'Safeguard facility data'!BD$4:BD$312,"&gt;0"))-(SUMIFS('Safeguard facility data'!BK$4:BK$312,'Safeguard facility data'!$Q$4:$Q$312,$A172,'Safeguard facility data'!BK$4:BK$312,"&gt;0"))</f>
        <v>0</v>
      </c>
      <c r="E172" s="67">
        <f>(SUMIFS('Safeguard facility data'!BE$4:BE$312,'Safeguard facility data'!$Q$4:$Q$312,$A172,'Safeguard facility data'!BE$4:BE$312,"&gt;0"))-(SUMIFS('Safeguard facility data'!BL$4:BL$312,'Safeguard facility data'!$Q$4:$Q$312,$A172,'Safeguard facility data'!BL$4:BL$312,"&gt;0"))</f>
        <v>0</v>
      </c>
      <c r="F172" s="67">
        <f>(SUMIFS('Safeguard facility data'!BF$4:BF$312,'Safeguard facility data'!$Q$4:$Q$312,$A172,'Safeguard facility data'!BF$4:BF$312,"&gt;0"))-(SUMIFS('Safeguard facility data'!BM$4:BM$312,'Safeguard facility data'!$Q$4:$Q$312,$A172,'Safeguard facility data'!BM$4:BM$312,"&gt;0"))</f>
        <v>0</v>
      </c>
      <c r="G172" s="61">
        <f t="shared" si="7"/>
        <v>0</v>
      </c>
      <c r="H172" s="67"/>
      <c r="I172" s="67"/>
      <c r="J172" s="67"/>
      <c r="K172" s="67"/>
      <c r="L172" s="67"/>
      <c r="M172" s="67"/>
      <c r="N172" s="67"/>
      <c r="O172" s="67"/>
      <c r="P172" s="67"/>
      <c r="Q172" s="67"/>
      <c r="R172" s="67"/>
      <c r="S172" s="67"/>
    </row>
    <row r="173" spans="1:19">
      <c r="A173" s="54" t="s">
        <v>219</v>
      </c>
      <c r="B173" s="67">
        <f>(SUMIFS('Safeguard facility data'!BB$4:BB$312,'Safeguard facility data'!$Q$4:$Q$312,$A173,'Safeguard facility data'!BB$4:BB$312,"&gt;0"))-(SUMIFS('Safeguard facility data'!BI$4:BI$312,'Safeguard facility data'!$Q$4:$Q$312,$A173,'Safeguard facility data'!BI$4:BI$312,"&gt;0"))</f>
        <v>0</v>
      </c>
      <c r="C173" s="67">
        <f>(SUMIFS('Safeguard facility data'!BC$4:BC$312,'Safeguard facility data'!$Q$4:$Q$312,$A173,'Safeguard facility data'!BC$4:BC$312,"&gt;0"))-(SUMIFS('Safeguard facility data'!BJ$4:BJ$312,'Safeguard facility data'!$Q$4:$Q$312,$A173,'Safeguard facility data'!BJ$4:BJ$312,"&gt;0"))</f>
        <v>0</v>
      </c>
      <c r="D173" s="67">
        <f>(SUMIFS('Safeguard facility data'!BD$4:BD$312,'Safeguard facility data'!$Q$4:$Q$312,$A173,'Safeguard facility data'!BD$4:BD$312,"&gt;0"))-(SUMIFS('Safeguard facility data'!BK$4:BK$312,'Safeguard facility data'!$Q$4:$Q$312,$A173,'Safeguard facility data'!BK$4:BK$312,"&gt;0"))</f>
        <v>0</v>
      </c>
      <c r="E173" s="67">
        <f>(SUMIFS('Safeguard facility data'!BE$4:BE$312,'Safeguard facility data'!$Q$4:$Q$312,$A173,'Safeguard facility data'!BE$4:BE$312,"&gt;0"))-(SUMIFS('Safeguard facility data'!BL$4:BL$312,'Safeguard facility data'!$Q$4:$Q$312,$A173,'Safeguard facility data'!BL$4:BL$312,"&gt;0"))</f>
        <v>0</v>
      </c>
      <c r="F173" s="67">
        <f>(SUMIFS('Safeguard facility data'!BF$4:BF$312,'Safeguard facility data'!$Q$4:$Q$312,$A173,'Safeguard facility data'!BF$4:BF$312,"&gt;0"))-(SUMIFS('Safeguard facility data'!BM$4:BM$312,'Safeguard facility data'!$Q$4:$Q$312,$A173,'Safeguard facility data'!BM$4:BM$312,"&gt;0"))</f>
        <v>0</v>
      </c>
      <c r="G173" s="61">
        <f t="shared" si="7"/>
        <v>0</v>
      </c>
      <c r="H173" s="67"/>
      <c r="I173" s="67"/>
      <c r="J173" s="67"/>
      <c r="K173" s="67"/>
      <c r="L173" s="67"/>
      <c r="M173" s="67"/>
      <c r="N173" s="67"/>
      <c r="O173" s="67"/>
      <c r="P173" s="67"/>
      <c r="Q173" s="67"/>
      <c r="R173" s="67"/>
      <c r="S173" s="67"/>
    </row>
    <row r="174" spans="1:19">
      <c r="A174" s="54" t="s">
        <v>286</v>
      </c>
      <c r="B174" s="67">
        <f>(SUMIFS('Safeguard facility data'!BB$4:BB$312,'Safeguard facility data'!$Q$4:$Q$312,$A174,'Safeguard facility data'!BB$4:BB$312,"&gt;0"))-(SUMIFS('Safeguard facility data'!BI$4:BI$312,'Safeguard facility data'!$Q$4:$Q$312,$A174,'Safeguard facility data'!BI$4:BI$312,"&gt;0"))</f>
        <v>0</v>
      </c>
      <c r="C174" s="67">
        <f>(SUMIFS('Safeguard facility data'!BC$4:BC$312,'Safeguard facility data'!$Q$4:$Q$312,$A174,'Safeguard facility data'!BC$4:BC$312,"&gt;0"))-(SUMIFS('Safeguard facility data'!BJ$4:BJ$312,'Safeguard facility data'!$Q$4:$Q$312,$A174,'Safeguard facility data'!BJ$4:BJ$312,"&gt;0"))</f>
        <v>0</v>
      </c>
      <c r="D174" s="67">
        <f>(SUMIFS('Safeguard facility data'!BD$4:BD$312,'Safeguard facility data'!$Q$4:$Q$312,$A174,'Safeguard facility data'!BD$4:BD$312,"&gt;0"))-(SUMIFS('Safeguard facility data'!BK$4:BK$312,'Safeguard facility data'!$Q$4:$Q$312,$A174,'Safeguard facility data'!BK$4:BK$312,"&gt;0"))</f>
        <v>0</v>
      </c>
      <c r="E174" s="67">
        <f>(SUMIFS('Safeguard facility data'!BE$4:BE$312,'Safeguard facility data'!$Q$4:$Q$312,$A174,'Safeguard facility data'!BE$4:BE$312,"&gt;0"))-(SUMIFS('Safeguard facility data'!BL$4:BL$312,'Safeguard facility data'!$Q$4:$Q$312,$A174,'Safeguard facility data'!BL$4:BL$312,"&gt;0"))</f>
        <v>0</v>
      </c>
      <c r="F174" s="67">
        <f>(SUMIFS('Safeguard facility data'!BF$4:BF$312,'Safeguard facility data'!$Q$4:$Q$312,$A174,'Safeguard facility data'!BF$4:BF$312,"&gt;0"))-(SUMIFS('Safeguard facility data'!BM$4:BM$312,'Safeguard facility data'!$Q$4:$Q$312,$A174,'Safeguard facility data'!BM$4:BM$312,"&gt;0"))</f>
        <v>0</v>
      </c>
      <c r="G174" s="61">
        <f t="shared" si="7"/>
        <v>0</v>
      </c>
      <c r="H174" s="67"/>
      <c r="I174" s="67"/>
      <c r="J174" s="67"/>
      <c r="K174" s="67"/>
      <c r="L174" s="67"/>
      <c r="M174" s="67"/>
      <c r="N174" s="67"/>
      <c r="O174" s="67"/>
      <c r="P174" s="67"/>
      <c r="Q174" s="67"/>
      <c r="R174" s="67"/>
      <c r="S174" s="67"/>
    </row>
    <row r="175" spans="1:19">
      <c r="A175" s="54" t="s">
        <v>261</v>
      </c>
      <c r="B175" s="67">
        <f>(SUMIFS('Safeguard facility data'!BB$4:BB$312,'Safeguard facility data'!$Q$4:$Q$312,$A175,'Safeguard facility data'!BB$4:BB$312,"&gt;0"))-(SUMIFS('Safeguard facility data'!BI$4:BI$312,'Safeguard facility data'!$Q$4:$Q$312,$A175,'Safeguard facility data'!BI$4:BI$312,"&gt;0"))</f>
        <v>0</v>
      </c>
      <c r="C175" s="67">
        <f>(SUMIFS('Safeguard facility data'!BC$4:BC$312,'Safeguard facility data'!$Q$4:$Q$312,$A175,'Safeguard facility data'!BC$4:BC$312,"&gt;0"))-(SUMIFS('Safeguard facility data'!BJ$4:BJ$312,'Safeguard facility data'!$Q$4:$Q$312,$A175,'Safeguard facility data'!BJ$4:BJ$312,"&gt;0"))</f>
        <v>0</v>
      </c>
      <c r="D175" s="67">
        <f>(SUMIFS('Safeguard facility data'!BD$4:BD$312,'Safeguard facility data'!$Q$4:$Q$312,$A175,'Safeguard facility data'!BD$4:BD$312,"&gt;0"))-(SUMIFS('Safeguard facility data'!BK$4:BK$312,'Safeguard facility data'!$Q$4:$Q$312,$A175,'Safeguard facility data'!BK$4:BK$312,"&gt;0"))</f>
        <v>0</v>
      </c>
      <c r="E175" s="67">
        <f>(SUMIFS('Safeguard facility data'!BE$4:BE$312,'Safeguard facility data'!$Q$4:$Q$312,$A175,'Safeguard facility data'!BE$4:BE$312,"&gt;0"))-(SUMIFS('Safeguard facility data'!BL$4:BL$312,'Safeguard facility data'!$Q$4:$Q$312,$A175,'Safeguard facility data'!BL$4:BL$312,"&gt;0"))</f>
        <v>0</v>
      </c>
      <c r="F175" s="67">
        <f>(SUMIFS('Safeguard facility data'!BF$4:BF$312,'Safeguard facility data'!$Q$4:$Q$312,$A175,'Safeguard facility data'!BF$4:BF$312,"&gt;0"))-(SUMIFS('Safeguard facility data'!BM$4:BM$312,'Safeguard facility data'!$Q$4:$Q$312,$A175,'Safeguard facility data'!BM$4:BM$312,"&gt;0"))</f>
        <v>0</v>
      </c>
      <c r="G175" s="61">
        <f t="shared" si="7"/>
        <v>0</v>
      </c>
      <c r="H175" s="67"/>
      <c r="I175" s="67"/>
      <c r="J175" s="67"/>
      <c r="K175" s="67"/>
      <c r="L175" s="67"/>
      <c r="M175" s="67"/>
      <c r="N175" s="67"/>
      <c r="O175" s="67"/>
      <c r="P175" s="67"/>
      <c r="Q175" s="67"/>
      <c r="R175" s="67"/>
      <c r="S175" s="67"/>
    </row>
    <row r="176" spans="1:19">
      <c r="A176" s="54" t="s">
        <v>220</v>
      </c>
      <c r="B176" s="67">
        <f>(SUMIFS('Safeguard facility data'!BB$4:BB$312,'Safeguard facility data'!$Q$4:$Q$312,$A176,'Safeguard facility data'!BB$4:BB$312,"&gt;0"))-(SUMIFS('Safeguard facility data'!BI$4:BI$312,'Safeguard facility data'!$Q$4:$Q$312,$A176,'Safeguard facility data'!BI$4:BI$312,"&gt;0"))</f>
        <v>0</v>
      </c>
      <c r="C176" s="67">
        <f>(SUMIFS('Safeguard facility data'!BC$4:BC$312,'Safeguard facility data'!$Q$4:$Q$312,$A176,'Safeguard facility data'!BC$4:BC$312,"&gt;0"))-(SUMIFS('Safeguard facility data'!BJ$4:BJ$312,'Safeguard facility data'!$Q$4:$Q$312,$A176,'Safeguard facility data'!BJ$4:BJ$312,"&gt;0"))</f>
        <v>0</v>
      </c>
      <c r="D176" s="67">
        <f>(SUMIFS('Safeguard facility data'!BD$4:BD$312,'Safeguard facility data'!$Q$4:$Q$312,$A176,'Safeguard facility data'!BD$4:BD$312,"&gt;0"))-(SUMIFS('Safeguard facility data'!BK$4:BK$312,'Safeguard facility data'!$Q$4:$Q$312,$A176,'Safeguard facility data'!BK$4:BK$312,"&gt;0"))</f>
        <v>0</v>
      </c>
      <c r="E176" s="67">
        <f>(SUMIFS('Safeguard facility data'!BE$4:BE$312,'Safeguard facility data'!$Q$4:$Q$312,$A176,'Safeguard facility data'!BE$4:BE$312,"&gt;0"))-(SUMIFS('Safeguard facility data'!BL$4:BL$312,'Safeguard facility data'!$Q$4:$Q$312,$A176,'Safeguard facility data'!BL$4:BL$312,"&gt;0"))</f>
        <v>0</v>
      </c>
      <c r="F176" s="67">
        <f>(SUMIFS('Safeguard facility data'!BF$4:BF$312,'Safeguard facility data'!$Q$4:$Q$312,$A176,'Safeguard facility data'!BF$4:BF$312,"&gt;0"))-(SUMIFS('Safeguard facility data'!BM$4:BM$312,'Safeguard facility data'!$Q$4:$Q$312,$A176,'Safeguard facility data'!BM$4:BM$312,"&gt;0"))</f>
        <v>0</v>
      </c>
      <c r="G176" s="61">
        <f t="shared" si="7"/>
        <v>0</v>
      </c>
      <c r="H176" s="67"/>
      <c r="I176" s="67"/>
      <c r="J176" s="67"/>
      <c r="K176" s="67"/>
      <c r="L176" s="67"/>
      <c r="M176" s="67"/>
      <c r="N176" s="67"/>
      <c r="O176" s="67"/>
      <c r="P176" s="67"/>
      <c r="Q176" s="67"/>
      <c r="R176" s="67"/>
      <c r="S176" s="67"/>
    </row>
    <row r="177" spans="1:19">
      <c r="A177" s="54" t="s">
        <v>221</v>
      </c>
      <c r="B177" s="67">
        <f>(SUMIFS('Safeguard facility data'!BB$4:BB$312,'Safeguard facility data'!$Q$4:$Q$312,$A177,'Safeguard facility data'!BB$4:BB$312,"&gt;0"))-(SUMIFS('Safeguard facility data'!BI$4:BI$312,'Safeguard facility data'!$Q$4:$Q$312,$A177,'Safeguard facility data'!BI$4:BI$312,"&gt;0"))</f>
        <v>0</v>
      </c>
      <c r="C177" s="67">
        <f>(SUMIFS('Safeguard facility data'!BC$4:BC$312,'Safeguard facility data'!$Q$4:$Q$312,$A177,'Safeguard facility data'!BC$4:BC$312,"&gt;0"))-(SUMIFS('Safeguard facility data'!BJ$4:BJ$312,'Safeguard facility data'!$Q$4:$Q$312,$A177,'Safeguard facility data'!BJ$4:BJ$312,"&gt;0"))</f>
        <v>0</v>
      </c>
      <c r="D177" s="67">
        <f>(SUMIFS('Safeguard facility data'!BD$4:BD$312,'Safeguard facility data'!$Q$4:$Q$312,$A177,'Safeguard facility data'!BD$4:BD$312,"&gt;0"))-(SUMIFS('Safeguard facility data'!BK$4:BK$312,'Safeguard facility data'!$Q$4:$Q$312,$A177,'Safeguard facility data'!BK$4:BK$312,"&gt;0"))</f>
        <v>0</v>
      </c>
      <c r="E177" s="67">
        <f>(SUMIFS('Safeguard facility data'!BE$4:BE$312,'Safeguard facility data'!$Q$4:$Q$312,$A177,'Safeguard facility data'!BE$4:BE$312,"&gt;0"))-(SUMIFS('Safeguard facility data'!BL$4:BL$312,'Safeguard facility data'!$Q$4:$Q$312,$A177,'Safeguard facility data'!BL$4:BL$312,"&gt;0"))</f>
        <v>0</v>
      </c>
      <c r="F177" s="67">
        <f>(SUMIFS('Safeguard facility data'!BF$4:BF$312,'Safeguard facility data'!$Q$4:$Q$312,$A177,'Safeguard facility data'!BF$4:BF$312,"&gt;0"))-(SUMIFS('Safeguard facility data'!BM$4:BM$312,'Safeguard facility data'!$Q$4:$Q$312,$A177,'Safeguard facility data'!BM$4:BM$312,"&gt;0"))</f>
        <v>0</v>
      </c>
      <c r="G177" s="61">
        <f t="shared" si="7"/>
        <v>0</v>
      </c>
      <c r="H177" s="67"/>
      <c r="I177" s="67"/>
      <c r="J177" s="67"/>
      <c r="K177" s="67"/>
      <c r="L177" s="67"/>
      <c r="M177" s="67"/>
      <c r="N177" s="67"/>
      <c r="O177" s="67"/>
      <c r="P177" s="67"/>
      <c r="Q177" s="67"/>
      <c r="R177" s="67"/>
      <c r="S177" s="67"/>
    </row>
    <row r="178" spans="1:19">
      <c r="A178" s="54" t="s">
        <v>262</v>
      </c>
      <c r="B178" s="67">
        <f>(SUMIFS('Safeguard facility data'!BB$4:BB$312,'Safeguard facility data'!$Q$4:$Q$312,$A178,'Safeguard facility data'!BB$4:BB$312,"&gt;0"))-(SUMIFS('Safeguard facility data'!BI$4:BI$312,'Safeguard facility data'!$Q$4:$Q$312,$A178,'Safeguard facility data'!BI$4:BI$312,"&gt;0"))</f>
        <v>0</v>
      </c>
      <c r="C178" s="67">
        <f>(SUMIFS('Safeguard facility data'!BC$4:BC$312,'Safeguard facility data'!$Q$4:$Q$312,$A178,'Safeguard facility data'!BC$4:BC$312,"&gt;0"))-(SUMIFS('Safeguard facility data'!BJ$4:BJ$312,'Safeguard facility data'!$Q$4:$Q$312,$A178,'Safeguard facility data'!BJ$4:BJ$312,"&gt;0"))</f>
        <v>0</v>
      </c>
      <c r="D178" s="67">
        <f>(SUMIFS('Safeguard facility data'!BD$4:BD$312,'Safeguard facility data'!$Q$4:$Q$312,$A178,'Safeguard facility data'!BD$4:BD$312,"&gt;0"))-(SUMIFS('Safeguard facility data'!BK$4:BK$312,'Safeguard facility data'!$Q$4:$Q$312,$A178,'Safeguard facility data'!BK$4:BK$312,"&gt;0"))</f>
        <v>0</v>
      </c>
      <c r="E178" s="67">
        <f>(SUMIFS('Safeguard facility data'!BE$4:BE$312,'Safeguard facility data'!$Q$4:$Q$312,$A178,'Safeguard facility data'!BE$4:BE$312,"&gt;0"))-(SUMIFS('Safeguard facility data'!BL$4:BL$312,'Safeguard facility data'!$Q$4:$Q$312,$A178,'Safeguard facility data'!BL$4:BL$312,"&gt;0"))</f>
        <v>0</v>
      </c>
      <c r="F178" s="67">
        <f>(SUMIFS('Safeguard facility data'!BF$4:BF$312,'Safeguard facility data'!$Q$4:$Q$312,$A178,'Safeguard facility data'!BF$4:BF$312,"&gt;0"))-(SUMIFS('Safeguard facility data'!BM$4:BM$312,'Safeguard facility data'!$Q$4:$Q$312,$A178,'Safeguard facility data'!BM$4:BM$312,"&gt;0"))</f>
        <v>0</v>
      </c>
      <c r="G178" s="61">
        <f t="shared" si="7"/>
        <v>0</v>
      </c>
      <c r="H178" s="67"/>
      <c r="I178" s="67"/>
      <c r="J178" s="67"/>
      <c r="K178" s="67"/>
      <c r="L178" s="67"/>
      <c r="M178" s="67"/>
      <c r="N178" s="67"/>
      <c r="O178" s="67"/>
      <c r="P178" s="67"/>
      <c r="Q178" s="67"/>
      <c r="R178" s="67"/>
      <c r="S178" s="67"/>
    </row>
    <row r="179" spans="1:19">
      <c r="A179" s="54" t="s">
        <v>222</v>
      </c>
      <c r="B179" s="67">
        <f>(SUMIFS('Safeguard facility data'!BB$4:BB$312,'Safeguard facility data'!$Q$4:$Q$312,$A179,'Safeguard facility data'!BB$4:BB$312,"&gt;0"))-(SUMIFS('Safeguard facility data'!BI$4:BI$312,'Safeguard facility data'!$Q$4:$Q$312,$A179,'Safeguard facility data'!BI$4:BI$312,"&gt;0"))</f>
        <v>0</v>
      </c>
      <c r="C179" s="67">
        <f>(SUMIFS('Safeguard facility data'!BC$4:BC$312,'Safeguard facility data'!$Q$4:$Q$312,$A179,'Safeguard facility data'!BC$4:BC$312,"&gt;0"))-(SUMIFS('Safeguard facility data'!BJ$4:BJ$312,'Safeguard facility data'!$Q$4:$Q$312,$A179,'Safeguard facility data'!BJ$4:BJ$312,"&gt;0"))</f>
        <v>0</v>
      </c>
      <c r="D179" s="67">
        <f>(SUMIFS('Safeguard facility data'!BD$4:BD$312,'Safeguard facility data'!$Q$4:$Q$312,$A179,'Safeguard facility data'!BD$4:BD$312,"&gt;0"))-(SUMIFS('Safeguard facility data'!BK$4:BK$312,'Safeguard facility data'!$Q$4:$Q$312,$A179,'Safeguard facility data'!BK$4:BK$312,"&gt;0"))</f>
        <v>0</v>
      </c>
      <c r="E179" s="67">
        <f>(SUMIFS('Safeguard facility data'!BE$4:BE$312,'Safeguard facility data'!$Q$4:$Q$312,$A179,'Safeguard facility data'!BE$4:BE$312,"&gt;0"))-(SUMIFS('Safeguard facility data'!BL$4:BL$312,'Safeguard facility data'!$Q$4:$Q$312,$A179,'Safeguard facility data'!BL$4:BL$312,"&gt;0"))</f>
        <v>0</v>
      </c>
      <c r="F179" s="67">
        <f>(SUMIFS('Safeguard facility data'!BF$4:BF$312,'Safeguard facility data'!$Q$4:$Q$312,$A179,'Safeguard facility data'!BF$4:BF$312,"&gt;0"))-(SUMIFS('Safeguard facility data'!BM$4:BM$312,'Safeguard facility data'!$Q$4:$Q$312,$A179,'Safeguard facility data'!BM$4:BM$312,"&gt;0"))</f>
        <v>0</v>
      </c>
      <c r="G179" s="61">
        <f t="shared" si="7"/>
        <v>0</v>
      </c>
      <c r="H179" s="67"/>
      <c r="I179" s="67"/>
      <c r="J179" s="67"/>
      <c r="K179" s="67"/>
      <c r="L179" s="67"/>
      <c r="M179" s="67"/>
      <c r="N179" s="67"/>
      <c r="O179" s="67"/>
      <c r="P179" s="67"/>
      <c r="Q179" s="67"/>
      <c r="R179" s="67"/>
      <c r="S179" s="67"/>
    </row>
    <row r="180" spans="1:19">
      <c r="A180" s="54" t="s">
        <v>223</v>
      </c>
      <c r="B180" s="67">
        <f>(SUMIFS('Safeguard facility data'!BB$4:BB$312,'Safeguard facility data'!$Q$4:$Q$312,$A180,'Safeguard facility data'!BB$4:BB$312,"&gt;0"))-(SUMIFS('Safeguard facility data'!BI$4:BI$312,'Safeguard facility data'!$Q$4:$Q$312,$A180,'Safeguard facility data'!BI$4:BI$312,"&gt;0"))</f>
        <v>0</v>
      </c>
      <c r="C180" s="67">
        <f>(SUMIFS('Safeguard facility data'!BC$4:BC$312,'Safeguard facility data'!$Q$4:$Q$312,$A180,'Safeguard facility data'!BC$4:BC$312,"&gt;0"))-(SUMIFS('Safeguard facility data'!BJ$4:BJ$312,'Safeguard facility data'!$Q$4:$Q$312,$A180,'Safeguard facility data'!BJ$4:BJ$312,"&gt;0"))</f>
        <v>0</v>
      </c>
      <c r="D180" s="67">
        <f>(SUMIFS('Safeguard facility data'!BD$4:BD$312,'Safeguard facility data'!$Q$4:$Q$312,$A180,'Safeguard facility data'!BD$4:BD$312,"&gt;0"))-(SUMIFS('Safeguard facility data'!BK$4:BK$312,'Safeguard facility data'!$Q$4:$Q$312,$A180,'Safeguard facility data'!BK$4:BK$312,"&gt;0"))</f>
        <v>0</v>
      </c>
      <c r="E180" s="67">
        <f>(SUMIFS('Safeguard facility data'!BE$4:BE$312,'Safeguard facility data'!$Q$4:$Q$312,$A180,'Safeguard facility data'!BE$4:BE$312,"&gt;0"))-(SUMIFS('Safeguard facility data'!BL$4:BL$312,'Safeguard facility data'!$Q$4:$Q$312,$A180,'Safeguard facility data'!BL$4:BL$312,"&gt;0"))</f>
        <v>0</v>
      </c>
      <c r="F180" s="67">
        <f>(SUMIFS('Safeguard facility data'!BF$4:BF$312,'Safeguard facility data'!$Q$4:$Q$312,$A180,'Safeguard facility data'!BF$4:BF$312,"&gt;0"))-(SUMIFS('Safeguard facility data'!BM$4:BM$312,'Safeguard facility data'!$Q$4:$Q$312,$A180,'Safeguard facility data'!BM$4:BM$312,"&gt;0"))</f>
        <v>0</v>
      </c>
      <c r="G180" s="61">
        <f t="shared" si="7"/>
        <v>0</v>
      </c>
      <c r="H180" s="67"/>
      <c r="I180" s="67"/>
      <c r="J180" s="67"/>
      <c r="K180" s="67"/>
      <c r="L180" s="67"/>
      <c r="M180" s="67"/>
      <c r="N180" s="67"/>
      <c r="O180" s="67"/>
      <c r="P180" s="67"/>
      <c r="Q180" s="67"/>
      <c r="R180" s="67"/>
      <c r="S180" s="67"/>
    </row>
    <row r="181" spans="1:19">
      <c r="A181" s="54" t="s">
        <v>263</v>
      </c>
      <c r="B181" s="67">
        <f>(SUMIFS('Safeguard facility data'!BB$4:BB$312,'Safeguard facility data'!$Q$4:$Q$312,$A181,'Safeguard facility data'!BB$4:BB$312,"&gt;0"))-(SUMIFS('Safeguard facility data'!BI$4:BI$312,'Safeguard facility data'!$Q$4:$Q$312,$A181,'Safeguard facility data'!BI$4:BI$312,"&gt;0"))</f>
        <v>0</v>
      </c>
      <c r="C181" s="67">
        <f>(SUMIFS('Safeguard facility data'!BC$4:BC$312,'Safeguard facility data'!$Q$4:$Q$312,$A181,'Safeguard facility data'!BC$4:BC$312,"&gt;0"))-(SUMIFS('Safeguard facility data'!BJ$4:BJ$312,'Safeguard facility data'!$Q$4:$Q$312,$A181,'Safeguard facility data'!BJ$4:BJ$312,"&gt;0"))</f>
        <v>0</v>
      </c>
      <c r="D181" s="67">
        <f>(SUMIFS('Safeguard facility data'!BD$4:BD$312,'Safeguard facility data'!$Q$4:$Q$312,$A181,'Safeguard facility data'!BD$4:BD$312,"&gt;0"))-(SUMIFS('Safeguard facility data'!BK$4:BK$312,'Safeguard facility data'!$Q$4:$Q$312,$A181,'Safeguard facility data'!BK$4:BK$312,"&gt;0"))</f>
        <v>0</v>
      </c>
      <c r="E181" s="67">
        <f>(SUMIFS('Safeguard facility data'!BE$4:BE$312,'Safeguard facility data'!$Q$4:$Q$312,$A181,'Safeguard facility data'!BE$4:BE$312,"&gt;0"))-(SUMIFS('Safeguard facility data'!BL$4:BL$312,'Safeguard facility data'!$Q$4:$Q$312,$A181,'Safeguard facility data'!BL$4:BL$312,"&gt;0"))</f>
        <v>0</v>
      </c>
      <c r="F181" s="67">
        <f>(SUMIFS('Safeguard facility data'!BF$4:BF$312,'Safeguard facility data'!$Q$4:$Q$312,$A181,'Safeguard facility data'!BF$4:BF$312,"&gt;0"))-(SUMIFS('Safeguard facility data'!BM$4:BM$312,'Safeguard facility data'!$Q$4:$Q$312,$A181,'Safeguard facility data'!BM$4:BM$312,"&gt;0"))</f>
        <v>0</v>
      </c>
      <c r="G181" s="61">
        <f t="shared" si="7"/>
        <v>0</v>
      </c>
      <c r="H181" s="67"/>
      <c r="I181" s="67"/>
      <c r="J181" s="67"/>
      <c r="K181" s="67"/>
      <c r="L181" s="67"/>
      <c r="M181" s="67"/>
      <c r="N181" s="67"/>
      <c r="O181" s="67"/>
      <c r="P181" s="67"/>
      <c r="Q181" s="67"/>
      <c r="R181" s="67"/>
      <c r="S181" s="67"/>
    </row>
  </sheetData>
  <sortState xmlns:xlrd2="http://schemas.microsoft.com/office/spreadsheetml/2017/richdata2" ref="A4:G181">
    <sortCondition descending="1" ref="G4:G181"/>
    <sortCondition ref="A4:A181"/>
  </sortState>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Permissions</vt:lpstr>
      <vt:lpstr>dropdowns</vt:lpstr>
      <vt:lpstr>Figure 1 10 most polluting</vt:lpstr>
      <vt:lpstr>Figure 2 Expansion estimates</vt:lpstr>
      <vt:lpstr>Figure 3 Emissions by activity</vt:lpstr>
      <vt:lpstr>Figure 4 Baselines by activity</vt:lpstr>
      <vt:lpstr>Figure 5 MYMPs</vt:lpstr>
      <vt:lpstr>Figure 6 Headroom by facility</vt:lpstr>
      <vt:lpstr>Figure 7 Headroom by activity</vt:lpstr>
      <vt:lpstr>Figure 8 Industry variability</vt:lpstr>
      <vt:lpstr>Facility case study generator</vt:lpstr>
      <vt:lpstr>Activity case study generator</vt:lpstr>
      <vt:lpstr>Safeguard facility 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Kim Garratt</cp:lastModifiedBy>
  <dcterms:created xsi:type="dcterms:W3CDTF">2022-09-11T22:55:28Z</dcterms:created>
  <dcterms:modified xsi:type="dcterms:W3CDTF">2022-09-15T07:34:19Z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Jet Reports Function Literals">
    <vt:lpwstr>,	;	,	{	}	[@[{0}]]	1033	3081</vt:lpwstr>
  </property>
</Properties>
</file>